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Ex1.xml" ContentType="application/vnd.ms-office.chartex+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4831" documentId="8_{BF1D83FD-EB09-456D-BECC-03F04ADE9534}" xr6:coauthVersionLast="47" xr6:coauthVersionMax="47" xr10:uidLastSave="{A976F5C1-9976-4B03-94B9-DB3908458AC5}"/>
  <bookViews>
    <workbookView xWindow="-120" yWindow="-120" windowWidth="29040" windowHeight="15720" tabRatio="852" activeTab="1" xr2:uid="{00000000-000D-0000-FFFF-FFFF00000000}"/>
  </bookViews>
  <sheets>
    <sheet name="SISSEJUHATUS" sheetId="21" r:id="rId1"/>
    <sheet name="ÜLDANDMED" sheetId="11" r:id="rId2"/>
    <sheet name="ELEKTER" sheetId="2" r:id="rId3"/>
    <sheet name="SOOJUS" sheetId="14" r:id="rId4"/>
    <sheet name="VESI" sheetId="3" r:id="rId5"/>
    <sheet name="PABER" sheetId="5" r:id="rId6"/>
    <sheet name="JÄÄTMED" sheetId="15" r:id="rId7"/>
    <sheet name="KOOND" sheetId="19" r:id="rId8"/>
    <sheet name="KHG_OMA SÕIDUKID M1" sheetId="16" r:id="rId9"/>
    <sheet name="KHG_HAJUSHEITMED M1" sheetId="30" r:id="rId10"/>
    <sheet name="KHG_TÖÖREISID M3" sheetId="25" r:id="rId11"/>
    <sheet name="KHG_TÖÖLE-KOJU M3" sheetId="28" r:id="rId12"/>
    <sheet name="KHG_TRANSPORDITEENUS M3" sheetId="27" r:id="rId13"/>
    <sheet name="KHG JALAJÄLG KOOND" sheetId="8" r:id="rId14"/>
    <sheet name="KHG eriheitetegurid" sheetId="17" r:id="rId15"/>
  </sheets>
  <definedNames>
    <definedName name="_xlchart.v1.0" hidden="1">('KHG JALAJÄLG KOOND'!$AH$23:$AH$24,'KHG JALAJÄLG KOOND'!$AH$26:$AH$28,'KHG JALAJÄLG KOOND'!$AH$30:$AH$36)</definedName>
    <definedName name="_xlchart.v1.1" hidden="1">('KHG JALAJÄLG KOOND'!$Y$23:$Z$24,'KHG JALAJÄLG KOOND'!$Y$26:$Z$28,'KHG JALAJÄLG KOOND'!$Y$30:$Z$36)</definedName>
    <definedName name="a_2022">ÜLDANDMED!$C$12</definedName>
    <definedName name="a_2023">ÜLDANDMED!$D$12</definedName>
    <definedName name="a_2024">ÜLDANDMED!$E$12</definedName>
    <definedName name="a_2025">ÜLDANDMED!$F$12</definedName>
    <definedName name="a_2026">ÜLDANDMED!$G$12</definedName>
    <definedName name="a_2027">ÜLDANDMED!$H$12</definedName>
    <definedName name="a_2028">ÜLDANDMED!$I$12</definedName>
    <definedName name="b_2022">ÜLDANDMED!$C$13</definedName>
    <definedName name="b_2023">ÜLDANDMED!$D$13</definedName>
    <definedName name="b_2024">ÜLDANDMED!$E$13</definedName>
    <definedName name="b_2025">ÜLDANDMED!$F$13</definedName>
    <definedName name="b_2026">ÜLDANDMED!$G$13</definedName>
    <definedName name="b_2027">ÜLDANDMED!$H$13</definedName>
    <definedName name="b_2028">ÜLDANDMED!$I$13</definedName>
    <definedName name="c_2022">ÜLDANDMED!$C$16</definedName>
    <definedName name="c_2023">ÜLDANDMED!$D$16</definedName>
    <definedName name="c_2024">ÜLDANDMED!$E$16</definedName>
    <definedName name="c_2025">ÜLDANDMED!$F$16</definedName>
    <definedName name="c_2026">ÜLDANDMED!$G$16</definedName>
    <definedName name="c_2027">ÜLDANDMED!$H$16</definedName>
    <definedName name="c_2028">ÜLDANDMED!$I$16</definedName>
    <definedName name="jäätmed_biojäätmed">'KHG eriheitetegurid'!$D$360</definedName>
    <definedName name="jäätmed_klaas">'KHG eriheitetegurid'!$D$361</definedName>
    <definedName name="jäätmed_paber">'KHG eriheitetegurid'!$D$362</definedName>
    <definedName name="jäätmed_segaolme_prügila">'KHG eriheitetegurid'!$D$364</definedName>
    <definedName name="jäätmed_segaolme_põletus">'KHG eriheitetegurid'!$D$365</definedName>
    <definedName name="jäätmed_segapakend">'KHG eriheitetegurid'!$D$363</definedName>
    <definedName name="kodukontor_elekter">'KHG eriheitetegurid'!$D$370</definedName>
    <definedName name="kodukontor_valgustus">'KHG eriheitetegurid'!$D$371</definedName>
    <definedName name="kütus_bensiin_kaubik_2022">'KHG eriheitetegurid'!$D$84</definedName>
    <definedName name="kütus_bensiin_kaubik_2023">'KHG eriheitetegurid'!$D$85</definedName>
    <definedName name="kütus_bensiin_kaubik_2024">'KHG eriheitetegurid'!$D$86</definedName>
    <definedName name="kütus_bensiin_kaubik_2025">'KHG eriheitetegurid'!$D$87</definedName>
    <definedName name="kütus_bensiin_kaubik_2026">'KHG eriheitetegurid'!$D$88</definedName>
    <definedName name="kütus_bensiin_kaubik_2027">'KHG eriheitetegurid'!$D$89</definedName>
    <definedName name="kütus_bensiin_kaubik_2028">'KHG eriheitetegurid'!$D$90</definedName>
    <definedName name="kütus_bensiin_sõiduauto_2022">'KHG eriheitetegurid'!$D$91</definedName>
    <definedName name="kütus_bensiin_sõiduauto_2023">'KHG eriheitetegurid'!$D$92</definedName>
    <definedName name="kütus_bensiin_sõiduauto_2024">'KHG eriheitetegurid'!$D$93</definedName>
    <definedName name="kütus_bensiin_sõiduauto_2025">'KHG eriheitetegurid'!$D$94</definedName>
    <definedName name="kütus_bensiin_sõiduauto_2026">'KHG eriheitetegurid'!$D$95</definedName>
    <definedName name="kütus_bensiin_sõiduauto_2027">'KHG eriheitetegurid'!$D$96</definedName>
    <definedName name="kütus_bensiin_sõiduauto_2028">'KHG eriheitetegurid'!$D$97</definedName>
    <definedName name="kütus_bioCNG_sõiduauto_2022">'KHG eriheitetegurid'!$D$98</definedName>
    <definedName name="kütus_bioCNG_sõiduauto_2023">'KHG eriheitetegurid'!$D$99</definedName>
    <definedName name="kütus_bioCNG_sõiduauto_2024">'KHG eriheitetegurid'!$D$100</definedName>
    <definedName name="kütus_bioCNG_sõiduauto_2025">'KHG eriheitetegurid'!$D$101</definedName>
    <definedName name="kütus_bioCNG_sõiduauto_2026">'KHG eriheitetegurid'!$D$102</definedName>
    <definedName name="kütus_bioCNG_sõiduauto_2027">'KHG eriheitetegurid'!$D$103</definedName>
    <definedName name="kütus_bioCNG_sõiduauto_2028">'KHG eriheitetegurid'!$D$104</definedName>
    <definedName name="kütus_CNG_sõiduauto_2022">'KHG eriheitetegurid'!$D$126</definedName>
    <definedName name="kütus_CNG_sõiduauto_2023">'KHG eriheitetegurid'!$D$127</definedName>
    <definedName name="kütus_CNG_sõiduauto_2024">'KHG eriheitetegurid'!$D$128</definedName>
    <definedName name="kütus_CNG_sõiduauto_2025">'KHG eriheitetegurid'!$D$129</definedName>
    <definedName name="kütus_CNG_sõiduauto_2026">'KHG eriheitetegurid'!$D$130</definedName>
    <definedName name="kütus_CNG_sõiduauto_2027">'KHG eriheitetegurid'!$D$131</definedName>
    <definedName name="kütus_CNG_sõiduauto_2028">'KHG eriheitetegurid'!$D$132</definedName>
    <definedName name="kütus_diisel_buss_2022">'KHG eriheitetegurid'!$D$105</definedName>
    <definedName name="kütus_diisel_buss_2023">'KHG eriheitetegurid'!$D$106</definedName>
    <definedName name="kütus_diisel_buss_2024">'KHG eriheitetegurid'!$D$107</definedName>
    <definedName name="kütus_diisel_buss_2025">'KHG eriheitetegurid'!$D$108</definedName>
    <definedName name="kütus_diisel_buss_2026">'KHG eriheitetegurid'!$D$109</definedName>
    <definedName name="kütus_diisel_buss_2027">'KHG eriheitetegurid'!$D$110</definedName>
    <definedName name="kütus_diisel_buss_2028">'KHG eriheitetegurid'!$D$111</definedName>
    <definedName name="kütus_diisel_kaubik_2022">'KHG eriheitetegurid'!$D$112</definedName>
    <definedName name="kütus_diisel_kaubik_2023">'KHG eriheitetegurid'!$D$113</definedName>
    <definedName name="kütus_diisel_kaubik_2024">'KHG eriheitetegurid'!$D$114</definedName>
    <definedName name="kütus_diisel_kaubik_2025">'KHG eriheitetegurid'!$D$115</definedName>
    <definedName name="kütus_diisel_kaubik_2026">'KHG eriheitetegurid'!$D$116</definedName>
    <definedName name="kütus_diisel_kaubik_2027">'KHG eriheitetegurid'!$D$117</definedName>
    <definedName name="kütus_diisel_kaubik_2028">'KHG eriheitetegurid'!$D$118</definedName>
    <definedName name="kütus_diisel_sõiduauto_2022">'KHG eriheitetegurid'!$D$119</definedName>
    <definedName name="kütus_diisel_sõiduauto_2023">'KHG eriheitetegurid'!$D$120</definedName>
    <definedName name="kütus_diisel_sõiduauto_2024">'KHG eriheitetegurid'!$D$121</definedName>
    <definedName name="kütus_diisel_sõiduauto_2025">'KHG eriheitetegurid'!$D$122</definedName>
    <definedName name="kütus_diisel_sõiduauto_2026">'KHG eriheitetegurid'!$D$123</definedName>
    <definedName name="kütus_diisel_sõiduauto_2027">'KHG eriheitetegurid'!$D$124</definedName>
    <definedName name="kütus_diisel_sõiduauto_2028">'KHG eriheitetegurid'!$D$125</definedName>
    <definedName name="kütus_taastuvelekter">'KHG eriheitetegurid'!$D$133</definedName>
    <definedName name="lehträtik">'KHG eriheitetegurid'!$D$354</definedName>
    <definedName name="lokaalküte_biomass_2022">'KHG eriheitetegurid'!$D$45</definedName>
    <definedName name="lokaalküte_biomass_2023">'KHG eriheitetegurid'!$D$46</definedName>
    <definedName name="lokaalküte_biomass_2024">'KHG eriheitetegurid'!$D$47</definedName>
    <definedName name="lokaalküte_biomass_2025">'KHG eriheitetegurid'!$D$48</definedName>
    <definedName name="lokaalküte_biomass_2026">'KHG eriheitetegurid'!$D$49</definedName>
    <definedName name="lokaalküte_biomass_2027">'KHG eriheitetegurid'!$D$50</definedName>
    <definedName name="lokaalküte_biomass_2028">'KHG eriheitetegurid'!$D$51</definedName>
    <definedName name="lokaalküte_freesturvas_2022">'KHG eriheitetegurid'!$D$52</definedName>
    <definedName name="lokaalküte_freesturvas_2023">'KHG eriheitetegurid'!$D$53</definedName>
    <definedName name="lokaalküte_freesturvas_2024">'KHG eriheitetegurid'!$D$54</definedName>
    <definedName name="lokaalküte_freesturvas_2025">'KHG eriheitetegurid'!$D$55</definedName>
    <definedName name="lokaalküte_freesturvas_2026">'KHG eriheitetegurid'!$D$56</definedName>
    <definedName name="lokaalküte_freesturvas_2027">'KHG eriheitetegurid'!$D$57</definedName>
    <definedName name="lokaalküte_freesturvas_2028">'KHG eriheitetegurid'!$D$58</definedName>
    <definedName name="lokaalküte_kütteõli_2022">'KHG eriheitetegurid'!$D$59</definedName>
    <definedName name="lokaalküte_kütteõli_2023">'KHG eriheitetegurid'!$D$60</definedName>
    <definedName name="lokaalküte_kütteõli_2024">'KHG eriheitetegurid'!$D$61</definedName>
    <definedName name="lokaalküte_kütteõli_2025">'KHG eriheitetegurid'!$D$62</definedName>
    <definedName name="lokaalküte_kütteõli_2026">'KHG eriheitetegurid'!$D$63</definedName>
    <definedName name="lokaalküte_kütteõli_2027">'KHG eriheitetegurid'!$D$64</definedName>
    <definedName name="lokaalküte_kütteõli_2028">'KHG eriheitetegurid'!$D$65</definedName>
    <definedName name="lokaalküte_maagaas_2022">'KHG eriheitetegurid'!$D$66</definedName>
    <definedName name="lokaalküte_maagaas_2023">'KHG eriheitetegurid'!$D$67</definedName>
    <definedName name="lokaalküte_maagaas_2024">'KHG eriheitetegurid'!$D$68</definedName>
    <definedName name="lokaalküte_maagaas_2025">'KHG eriheitetegurid'!$D$69</definedName>
    <definedName name="lokaalküte_maagaas_2026">'KHG eriheitetegurid'!$D$70</definedName>
    <definedName name="lokaalküte_maagaas_2027">'KHG eriheitetegurid'!$D$71</definedName>
    <definedName name="lokaalküte_maagaas_2028">'KHG eriheitetegurid'!$D$72</definedName>
    <definedName name="lokaalküte_põlevkiviõli_2022">'KHG eriheitetegurid'!$D$73</definedName>
    <definedName name="lokaalküte_põlevkiviõli_2023">'KHG eriheitetegurid'!$D$74</definedName>
    <definedName name="lokaalküte_põlevkiviõli_2024">'KHG eriheitetegurid'!$D$75</definedName>
    <definedName name="lokaalküte_põlevkiviõli_2025">'KHG eriheitetegurid'!$D$76</definedName>
    <definedName name="lokaalküte_põlevkiviõli_2026">'KHG eriheitetegurid'!$D$77</definedName>
    <definedName name="lokaalküte_põlevkiviõli_2027">'KHG eriheitetegurid'!$D$78</definedName>
    <definedName name="lokaalküte_põlevkiviõli_2028">'KHG eriheitetegurid'!$D$79</definedName>
    <definedName name="paber_2022">'KHG eriheitetegurid'!$D$347</definedName>
    <definedName name="paber_2023">'KHG eriheitetegurid'!$D$348</definedName>
    <definedName name="paber_2024">'KHG eriheitetegurid'!$D$349</definedName>
    <definedName name="paber_2025">'KHG eriheitetegurid'!$D$350</definedName>
    <definedName name="paber_2026">'KHG eriheitetegurid'!$D$351</definedName>
    <definedName name="paber_2027">'KHG eriheitetegurid'!$D$352</definedName>
    <definedName name="paber_2028">'KHG eriheitetegurid'!$D$353</definedName>
    <definedName name="salvrätik">'KHG eriheitetegurid'!#REF!</definedName>
    <definedName name="segajääk_2022">'KHG eriheitetegurid'!$D$7</definedName>
    <definedName name="segajääk_2023">'KHG eriheitetegurid'!$D$8</definedName>
    <definedName name="segajääk_2024">'KHG eriheitetegurid'!$D$9</definedName>
    <definedName name="segajääk_2025">'KHG eriheitetegurid'!$D$10</definedName>
    <definedName name="segajääk_2026">'KHG eriheitetegurid'!$D$11</definedName>
    <definedName name="segajääk_2027">'KHG eriheitetegurid'!$D$12</definedName>
    <definedName name="segajääk_2028">'KHG eriheitetegurid'!$D$13</definedName>
    <definedName name="sõiduauto_bensiin_2022">'KHG eriheitetegurid'!$D$163</definedName>
    <definedName name="sõiduauto_bensiin_2023">'KHG eriheitetegurid'!$D$164</definedName>
    <definedName name="sõiduauto_bensiin_2024">'KHG eriheitetegurid'!$D$165</definedName>
    <definedName name="sõiduauto_bensiin_2025">'KHG eriheitetegurid'!$D$166</definedName>
    <definedName name="sõiduauto_bensiin_2026">'KHG eriheitetegurid'!$D$167</definedName>
    <definedName name="sõiduauto_bensiin_2027">'KHG eriheitetegurid'!$D$168</definedName>
    <definedName name="sõiduauto_bensiin_2028">'KHG eriheitetegurid'!$D$169</definedName>
    <definedName name="sõiduauto_bioCNG_2022">'KHG eriheitetegurid'!$D$177</definedName>
    <definedName name="sõiduauto_bioCNG_2023">'KHG eriheitetegurid'!$D$178</definedName>
    <definedName name="sõiduauto_bioCNG_2024">'KHG eriheitetegurid'!$D$179</definedName>
    <definedName name="sõiduauto_bioCNG_2025">'KHG eriheitetegurid'!$D$180</definedName>
    <definedName name="sõiduauto_bioCNG_2026">'KHG eriheitetegurid'!$D$181</definedName>
    <definedName name="sõiduauto_bioCNG_2027">'KHG eriheitetegurid'!$D$182</definedName>
    <definedName name="sõiduauto_bioCNG_2028">'KHG eriheitetegurid'!$D$183</definedName>
    <definedName name="sõiduauto_CNG_2022">'KHG eriheitetegurid'!$D$184</definedName>
    <definedName name="sõiduauto_CNG_2023">'KHG eriheitetegurid'!$D$185</definedName>
    <definedName name="sõiduauto_CNG_2024">'KHG eriheitetegurid'!$D$186</definedName>
    <definedName name="sõiduauto_CNG_2025">'KHG eriheitetegurid'!$D$187</definedName>
    <definedName name="sõiduauto_CNG_2026">'KHG eriheitetegurid'!$D$188</definedName>
    <definedName name="sõiduauto_CNG_2027">'KHG eriheitetegurid'!$D$189</definedName>
    <definedName name="sõiduauto_CNG_2028">'KHG eriheitetegurid'!$D$190</definedName>
    <definedName name="sõiduauto_diisel_2022">'KHG eriheitetegurid'!$D$170</definedName>
    <definedName name="sõiduauto_diisel_2023">'KHG eriheitetegurid'!$D$171</definedName>
    <definedName name="sõiduauto_diisel_2024">'KHG eriheitetegurid'!$D$172</definedName>
    <definedName name="sõiduauto_diisel_2025">'KHG eriheitetegurid'!$D$173</definedName>
    <definedName name="sõiduauto_diisel_2026">'KHG eriheitetegurid'!$D$174</definedName>
    <definedName name="sõiduauto_diisel_2027">'KHG eriheitetegurid'!$D$175</definedName>
    <definedName name="sõiduauto_diisel_2028">'KHG eriheitetegurid'!$D$176</definedName>
    <definedName name="sõiduauto_hübriid_2022">'KHG eriheitetegurid'!$D$191</definedName>
    <definedName name="sõiduauto_hübriid_2023">'KHG eriheitetegurid'!$D$192</definedName>
    <definedName name="sõiduauto_hübriid_2024">'KHG eriheitetegurid'!$D$193</definedName>
    <definedName name="sõiduauto_hübriid_2025">'KHG eriheitetegurid'!$D$194</definedName>
    <definedName name="sõiduauto_hübriid_2026">'KHG eriheitetegurid'!$D$195</definedName>
    <definedName name="sõiduauto_hübriid_2027">'KHG eriheitetegurid'!$D$196</definedName>
    <definedName name="sõiduauto_hübriid_2028">'KHG eriheitetegurid'!$D$197</definedName>
    <definedName name="sõiduauto_taastuvelekter">'KHG eriheitetegurid'!$D$198</definedName>
    <definedName name="sõiduauto_tavaelekter_2022">'KHG eriheitetegurid'!$D$199</definedName>
    <definedName name="sõiduauto_tavaelekter_2023">'KHG eriheitetegurid'!$D$200</definedName>
    <definedName name="sõiduauto_tavaelekter_2024">'KHG eriheitetegurid'!$D$201</definedName>
    <definedName name="sõiduauto_tavaelekter_2025">'KHG eriheitetegurid'!$D$202</definedName>
    <definedName name="sõiduauto_tavaelekter_2026">'KHG eriheitetegurid'!$D$203</definedName>
    <definedName name="sõiduauto_tavaelekter_2027">'KHG eriheitetegurid'!$D$204</definedName>
    <definedName name="sõiduauto_tavaelekter_2028">'KHG eriheitetegurid'!$D$205</definedName>
    <definedName name="sõiduk_buss_kaugliin_2022">'KHG eriheitetegurid'!$D$213</definedName>
    <definedName name="sõiduk_buss_kaugliin_2023">'KHG eriheitetegurid'!$D$214</definedName>
    <definedName name="sõiduk_buss_kaugliin_2024">'KHG eriheitetegurid'!$D$215</definedName>
    <definedName name="sõiduk_buss_kaugliin_2025">'KHG eriheitetegurid'!$D$216</definedName>
    <definedName name="sõiduk_buss_kaugliin_2026">'KHG eriheitetegurid'!$D$217</definedName>
    <definedName name="sõiduk_buss_kaugliin_2027">'KHG eriheitetegurid'!$D$218</definedName>
    <definedName name="sõiduk_buss_kaugliin_2028">'KHG eriheitetegurid'!$D$219</definedName>
    <definedName name="sõiduk_buss_linnaliin_Eesti_2022">'KHG eriheitetegurid'!$D$220</definedName>
    <definedName name="sõiduk_buss_linnaliin_Eesti_2023">'KHG eriheitetegurid'!$D$221</definedName>
    <definedName name="sõiduk_buss_linnaliin_Eesti_2024">'KHG eriheitetegurid'!$D$222</definedName>
    <definedName name="sõiduk_buss_linnaliin_Eesti_2025">'KHG eriheitetegurid'!$D$223</definedName>
    <definedName name="sõiduk_buss_linnaliin_Eesti_2026">'KHG eriheitetegurid'!$D$224</definedName>
    <definedName name="sõiduk_buss_linnaliin_Eesti_2027">'KHG eriheitetegurid'!$D$225</definedName>
    <definedName name="sõiduk_buss_linnaliin_Eesti_2028">'KHG eriheitetegurid'!$D$226</definedName>
    <definedName name="sõiduk_buss_linnaliin_Tallinn_2022">'KHG eriheitetegurid'!$D$227</definedName>
    <definedName name="sõiduk_buss_linnaliin_Tallinn_2023">'KHG eriheitetegurid'!$D$228</definedName>
    <definedName name="sõiduk_buss_linnaliin_Tallinn_2024">'KHG eriheitetegurid'!$D$229</definedName>
    <definedName name="sõiduk_buss_linnaliin_Tallinn_2025">'KHG eriheitetegurid'!$D$230</definedName>
    <definedName name="sõiduk_buss_linnaliin_Tallinn_2026">'KHG eriheitetegurid'!$D$231</definedName>
    <definedName name="sõiduk_buss_linnaliin_Tallinn_2027">'KHG eriheitetegurid'!$D$232</definedName>
    <definedName name="sõiduk_buss_linnaliin_Tallinn_2028">'KHG eriheitetegurid'!$D$233</definedName>
    <definedName name="sõiduk_buss_maakondlik_2022">'KHG eriheitetegurid'!$D$234</definedName>
    <definedName name="sõiduk_buss_maakondlik_2023">'KHG eriheitetegurid'!$D$235</definedName>
    <definedName name="sõiduk_buss_maakondlik_2024">'KHG eriheitetegurid'!$D$236</definedName>
    <definedName name="sõiduk_buss_maakondlik_2025">'KHG eriheitetegurid'!$D$237</definedName>
    <definedName name="sõiduk_buss_maakondlik_2026">'KHG eriheitetegurid'!$D$238</definedName>
    <definedName name="sõiduk_buss_maakondlik_2027">'KHG eriheitetegurid'!$D$239</definedName>
    <definedName name="sõiduk_buss_maakondlik_2028">'KHG eriheitetegurid'!$D$240</definedName>
    <definedName name="sõiduk_diiselrong_2022">'KHG eriheitetegurid'!$D$242</definedName>
    <definedName name="sõiduk_diiselrong_2023">'KHG eriheitetegurid'!$D$243</definedName>
    <definedName name="sõiduk_diiselrong_2024">'KHG eriheitetegurid'!$D$244</definedName>
    <definedName name="sõiduk_diiselrong_2025">'KHG eriheitetegurid'!$D$245</definedName>
    <definedName name="sõiduk_diiselrong_2026">'KHG eriheitetegurid'!$D$246</definedName>
    <definedName name="sõiduk_diiselrong_2027">'KHG eriheitetegurid'!$D$247</definedName>
    <definedName name="sõiduk_diiselrong_2028">'KHG eriheitetegurid'!$D$248</definedName>
    <definedName name="sõiduk_elektrirong">'KHG eriheitetegurid'!$D$241</definedName>
    <definedName name="sõiduk_laev_2022">'KHG eriheitetegurid'!$D$249</definedName>
    <definedName name="sõiduk_laev_2023">'KHG eriheitetegurid'!$D$250</definedName>
    <definedName name="sõiduk_laev_2024">'KHG eriheitetegurid'!$D$251</definedName>
    <definedName name="sõiduk_laev_2025">'KHG eriheitetegurid'!$D$252</definedName>
    <definedName name="sõiduk_laev_2026">'KHG eriheitetegurid'!$D$253</definedName>
    <definedName name="sõiduk_laev_2027">'KHG eriheitetegurid'!$D$254</definedName>
    <definedName name="sõiduk_laev_2028">'KHG eriheitetegurid'!$D$255</definedName>
    <definedName name="sõiduk_lennuk_2022">'KHG eriheitetegurid'!$D$256</definedName>
    <definedName name="sõiduk_lennuk_2023">'KHG eriheitetegurid'!$D$257</definedName>
    <definedName name="sõiduk_lennuk_2024">'KHG eriheitetegurid'!$D$258</definedName>
    <definedName name="sõiduk_lennuk_2025">'KHG eriheitetegurid'!$D$259</definedName>
    <definedName name="sõiduk_lennuk_2026">'KHG eriheitetegurid'!$D$260</definedName>
    <definedName name="sõiduk_lennuk_2027">'KHG eriheitetegurid'!$D$261</definedName>
    <definedName name="sõiduk_lennuk_2028">'KHG eriheitetegurid'!$D$262</definedName>
    <definedName name="sõiduk_taastuvelektriratas">'KHG eriheitetegurid'!$D$272</definedName>
    <definedName name="sõiduk_takso_2022">'KHG eriheitetegurid'!$D$206</definedName>
    <definedName name="sõiduk_takso_2023">'KHG eriheitetegurid'!$D$207</definedName>
    <definedName name="sõiduk_takso_2024">'KHG eriheitetegurid'!$D$208</definedName>
    <definedName name="sõiduk_takso_2025">'KHG eriheitetegurid'!$D$209</definedName>
    <definedName name="sõiduk_takso_2026">'KHG eriheitetegurid'!$D$210</definedName>
    <definedName name="sõiduk_takso_2027">'KHG eriheitetegurid'!$D$211</definedName>
    <definedName name="sõiduk_takso_2028">'KHG eriheitetegurid'!$D$212</definedName>
    <definedName name="sõiduk_tavaelektriratas_2022">'KHG eriheitetegurid'!$D$265</definedName>
    <definedName name="sõiduk_tavaelektriratas_2023">'KHG eriheitetegurid'!$D$266</definedName>
    <definedName name="sõiduk_tavaelektriratas_2024">'KHG eriheitetegurid'!$D$267</definedName>
    <definedName name="sõiduk_tavaelektriratas_2025">'KHG eriheitetegurid'!$D$268</definedName>
    <definedName name="sõiduk_tavaelektriratas_2026">'KHG eriheitetegurid'!$D$269</definedName>
    <definedName name="sõiduk_tavaelektriratas_2027">'KHG eriheitetegurid'!$D$270</definedName>
    <definedName name="sõiduk_tavaelektriratas_2028">'KHG eriheitetegurid'!$D$271</definedName>
    <definedName name="sõiduk_tavajalgratas">'KHG eriheitetegurid'!$D$264</definedName>
    <definedName name="sõiduk_tramm">'KHG eriheitetegurid'!$D$263</definedName>
    <definedName name="transport_buss_2022">'KHG eriheitetegurid'!$D$322</definedName>
    <definedName name="transport_buss_2023">'KHG eriheitetegurid'!$D$323</definedName>
    <definedName name="transport_buss_2024">'KHG eriheitetegurid'!$D$324</definedName>
    <definedName name="transport_buss_2025">'KHG eriheitetegurid'!$D$325</definedName>
    <definedName name="transport_buss_2026">'KHG eriheitetegurid'!$D$326</definedName>
    <definedName name="transport_buss_2027">'KHG eriheitetegurid'!$D$327</definedName>
    <definedName name="transport_buss_2028">'KHG eriheitetegurid'!$D$328</definedName>
    <definedName name="transport_kaubik_bensiin_km_2022">'KHG eriheitetegurid'!$D$278</definedName>
    <definedName name="transport_kaubik_bensiin_km_2023">'KHG eriheitetegurid'!$D$279</definedName>
    <definedName name="transport_kaubik_bensiin_km_2024">'KHG eriheitetegurid'!$D$280</definedName>
    <definedName name="transport_kaubik_bensiin_km_2025">'KHG eriheitetegurid'!$D$281</definedName>
    <definedName name="transport_kaubik_bensiin_km_2026">'KHG eriheitetegurid'!$D$282</definedName>
    <definedName name="transport_kaubik_bensiin_km_2027">'KHG eriheitetegurid'!$D$283</definedName>
    <definedName name="transport_kaubik_bensiin_km_2028">'KHG eriheitetegurid'!$D$284</definedName>
    <definedName name="transport_kaubik_bensiin_tonnkm_2022">'KHG eriheitetegurid'!$D$285</definedName>
    <definedName name="transport_kaubik_bensiin_tonnkm_2023">'KHG eriheitetegurid'!$D$286</definedName>
    <definedName name="transport_kaubik_bensiin_tonnkm_2024">'KHG eriheitetegurid'!$D$287</definedName>
    <definedName name="transport_kaubik_bensiin_tonnkm_2025">'KHG eriheitetegurid'!$D$288</definedName>
    <definedName name="transport_kaubik_bensiin_tonnkm_2026">'KHG eriheitetegurid'!$D$289</definedName>
    <definedName name="transport_kaubik_bensiin_tonnkm_2027">'KHG eriheitetegurid'!$D$290</definedName>
    <definedName name="transport_kaubik_bensiin_tonnkm_2028">'KHG eriheitetegurid'!$D$291</definedName>
    <definedName name="transport_kaubik_diisel_km_2022">'KHG eriheitetegurid'!$D$292</definedName>
    <definedName name="transport_kaubik_diisel_km_2023">'KHG eriheitetegurid'!$D$293</definedName>
    <definedName name="transport_kaubik_diisel_km_2024">'KHG eriheitetegurid'!$D$294</definedName>
    <definedName name="transport_kaubik_diisel_km_2025">'KHG eriheitetegurid'!$D$295</definedName>
    <definedName name="transport_kaubik_diisel_km_2026">'KHG eriheitetegurid'!$D$296</definedName>
    <definedName name="transport_kaubik_diisel_km_2027">'KHG eriheitetegurid'!$D$297</definedName>
    <definedName name="transport_kaubik_diisel_km_2028">'KHG eriheitetegurid'!$D$298</definedName>
    <definedName name="transport_kaubik_diisel_tonnkm_2022">'KHG eriheitetegurid'!$D$299</definedName>
    <definedName name="transport_kaubik_diisel_tonnkm_2023">'KHG eriheitetegurid'!$D$300</definedName>
    <definedName name="transport_kaubik_diisel_tonnkm_2024">'KHG eriheitetegurid'!$D$301</definedName>
    <definedName name="transport_kaubik_diisel_tonnkm_2025">'KHG eriheitetegurid'!$D$302</definedName>
    <definedName name="transport_kaubik_diisel_tonnkm_2026">'KHG eriheitetegurid'!$D$303</definedName>
    <definedName name="transport_kaubik_diisel_tonnkm_2027">'KHG eriheitetegurid'!$D$304</definedName>
    <definedName name="transport_kaubik_diisel_tonnkm_2028">'KHG eriheitetegurid'!$D$305</definedName>
    <definedName name="transport_kaubik_taastuvelekter_km">'KHG eriheitetegurid'!$D$306</definedName>
    <definedName name="transport_kaubik_taastuvelekter_tonnkm">'KHG eriheitetegurid'!$D$307</definedName>
    <definedName name="transport_kaubik_tavaelekter_km_2022">'KHG eriheitetegurid'!$D$308</definedName>
    <definedName name="transport_kaubik_tavaelekter_km_2023">'KHG eriheitetegurid'!$D$309</definedName>
    <definedName name="transport_kaubik_tavaelekter_km_2024">'KHG eriheitetegurid'!$D$310</definedName>
    <definedName name="transport_kaubik_tavaelekter_km_2025">'KHG eriheitetegurid'!$D$311</definedName>
    <definedName name="transport_kaubik_tavaelekter_km_2026">'KHG eriheitetegurid'!$D$312</definedName>
    <definedName name="transport_kaubik_tavaelekter_km_2027">'KHG eriheitetegurid'!$D$313</definedName>
    <definedName name="transport_kaubik_tavaelekter_km_2028">'KHG eriheitetegurid'!$D$314</definedName>
    <definedName name="transport_kaubik_tavaelekter_tonnkm_2022">'KHG eriheitetegurid'!$D$315</definedName>
    <definedName name="transport_kaubik_tavaelekter_tonnkm_2023">'KHG eriheitetegurid'!$D$316</definedName>
    <definedName name="transport_kaubik_tavaelekter_tonnkm_2024">'KHG eriheitetegurid'!$D$317</definedName>
    <definedName name="transport_kaubik_tavaelekter_tonnkm_2025">'KHG eriheitetegurid'!$D$318</definedName>
    <definedName name="transport_kaubik_tavaelekter_tonnkm_2026">'KHG eriheitetegurid'!$D$319</definedName>
    <definedName name="transport_kaubik_tavaelekter_tonnkm_2027">'KHG eriheitetegurid'!$D$320</definedName>
    <definedName name="transport_kaubik_tavaelekter_tonnkm_2028">'KHG eriheitetegurid'!$D$321</definedName>
    <definedName name="transport_väikebuss_2022">'KHG eriheitetegurid'!$D$329</definedName>
    <definedName name="transport_väikebuss_2023">'KHG eriheitetegurid'!$D$330</definedName>
    <definedName name="transport_väikebuss_2024">'KHG eriheitetegurid'!$D$331</definedName>
    <definedName name="transport_väikebuss_2025">'KHG eriheitetegurid'!$D$332</definedName>
    <definedName name="transport_väikebuss_2026">'KHG eriheitetegurid'!$D$333</definedName>
    <definedName name="transport_väikebuss_2027">'KHG eriheitetegurid'!$D$334</definedName>
    <definedName name="transport_väikebuss_2028">'KHG eriheitetegurid'!$D$335</definedName>
    <definedName name="tualettpaber">'KHG eriheitetegurid'!$D$356</definedName>
    <definedName name="tööle_koju_jalgsi">'KHG eriheitetegurid'!$D$273</definedName>
    <definedName name="vesi_2022">'KHG eriheitetegurid'!$D$340</definedName>
    <definedName name="vesi_2023">'KHG eriheitetegurid'!$D$341</definedName>
    <definedName name="vesi_2024">'KHG eriheitetegurid'!$D$342</definedName>
    <definedName name="vesi_2025">'KHG eriheitetegurid'!$D$343</definedName>
    <definedName name="vesi_2026">'KHG eriheitetegurid'!$D$344</definedName>
    <definedName name="vesi_2027">'KHG eriheitetegurid'!$D$345</definedName>
    <definedName name="vesi_2028">'KHG eriheitetegurid'!$D$346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8" l="1"/>
  <c r="H22" i="8"/>
  <c r="G22" i="8"/>
  <c r="E22" i="8"/>
  <c r="D22" i="8"/>
  <c r="D23" i="8"/>
  <c r="C22" i="8"/>
  <c r="D39" i="15" l="1"/>
  <c r="D38" i="15"/>
  <c r="C52" i="19"/>
  <c r="I50" i="19"/>
  <c r="H50" i="19"/>
  <c r="G50" i="19"/>
  <c r="F50" i="19"/>
  <c r="E50" i="19"/>
  <c r="D50" i="19"/>
  <c r="I48" i="19"/>
  <c r="H48" i="19"/>
  <c r="G48" i="19"/>
  <c r="F48" i="19"/>
  <c r="E48" i="19"/>
  <c r="D48" i="19"/>
  <c r="C48" i="19"/>
  <c r="D58" i="5"/>
  <c r="D8" i="5"/>
  <c r="D24" i="5" s="1"/>
  <c r="D7" i="5"/>
  <c r="D22" i="5" s="1"/>
  <c r="C38" i="19" s="1"/>
  <c r="D66" i="5"/>
  <c r="D50" i="5"/>
  <c r="D42" i="5"/>
  <c r="D34" i="5"/>
  <c r="D26" i="5"/>
  <c r="D18" i="5"/>
  <c r="D19" i="5" s="1"/>
  <c r="D64" i="5" l="1"/>
  <c r="D72" i="5"/>
  <c r="D56" i="5"/>
  <c r="D48" i="5"/>
  <c r="D40" i="5"/>
  <c r="D32" i="5"/>
  <c r="D62" i="5"/>
  <c r="D70" i="5"/>
  <c r="D54" i="5"/>
  <c r="D46" i="5"/>
  <c r="F38" i="19" s="1"/>
  <c r="D38" i="5"/>
  <c r="D30" i="5"/>
  <c r="D38" i="19" s="1"/>
  <c r="G38" i="19" l="1"/>
  <c r="H38" i="19"/>
  <c r="I38" i="19"/>
  <c r="E38" i="19"/>
  <c r="E158" i="25" l="1"/>
  <c r="E135" i="25"/>
  <c r="E112" i="25"/>
  <c r="E89" i="25"/>
  <c r="E66" i="25"/>
  <c r="E154" i="25" l="1"/>
  <c r="E131" i="25"/>
  <c r="E108" i="25"/>
  <c r="E85" i="25"/>
  <c r="E62" i="25"/>
  <c r="E39" i="25"/>
  <c r="E13" i="25"/>
  <c r="F15" i="11"/>
  <c r="E14" i="11"/>
  <c r="F14" i="11"/>
  <c r="E175" i="28"/>
  <c r="E171" i="28"/>
  <c r="E149" i="28"/>
  <c r="E145" i="28"/>
  <c r="E123" i="28"/>
  <c r="E119" i="28"/>
  <c r="E97" i="28"/>
  <c r="E93" i="28"/>
  <c r="E67" i="28"/>
  <c r="E41" i="28"/>
  <c r="E45" i="28"/>
  <c r="E71" i="28"/>
  <c r="F135" i="17"/>
  <c r="F136" i="17"/>
  <c r="D285" i="17"/>
  <c r="D377" i="17" l="1"/>
  <c r="D6" i="5" s="1"/>
  <c r="D20" i="5" l="1"/>
  <c r="D36" i="5"/>
  <c r="D60" i="5"/>
  <c r="D300" i="17"/>
  <c r="C37" i="19" l="1"/>
  <c r="G6" i="15"/>
  <c r="H14" i="8"/>
  <c r="C7" i="8"/>
  <c r="R27" i="14"/>
  <c r="R25" i="14"/>
  <c r="R23" i="14"/>
  <c r="R21" i="14"/>
  <c r="R19" i="14"/>
  <c r="R17" i="14"/>
  <c r="R15" i="14"/>
  <c r="P12" i="2"/>
  <c r="C13" i="8" s="1"/>
  <c r="P15" i="14"/>
  <c r="C20" i="19" s="1"/>
  <c r="P11" i="3"/>
  <c r="C23" i="8" s="1"/>
  <c r="O18" i="15"/>
  <c r="E14" i="25"/>
  <c r="F16" i="27"/>
  <c r="E12" i="28"/>
  <c r="E13" i="28"/>
  <c r="E12" i="16"/>
  <c r="E142" i="28"/>
  <c r="E143" i="28"/>
  <c r="E16" i="25"/>
  <c r="E15" i="28"/>
  <c r="E17" i="25"/>
  <c r="E16" i="28"/>
  <c r="E25" i="16"/>
  <c r="E26" i="16"/>
  <c r="E27" i="16"/>
  <c r="E28" i="16"/>
  <c r="E34" i="30"/>
  <c r="F34" i="30" s="1"/>
  <c r="E35" i="30"/>
  <c r="F35" i="30" s="1"/>
  <c r="E36" i="30"/>
  <c r="F36" i="30" s="1"/>
  <c r="E37" i="30"/>
  <c r="F37" i="30" s="1"/>
  <c r="E38" i="30"/>
  <c r="F38" i="30" s="1"/>
  <c r="E39" i="30"/>
  <c r="F39" i="30" s="1"/>
  <c r="E40" i="30"/>
  <c r="F40" i="30" s="1"/>
  <c r="E41" i="30"/>
  <c r="F41" i="30" s="1"/>
  <c r="E42" i="30"/>
  <c r="F42" i="30" s="1"/>
  <c r="E43" i="30"/>
  <c r="F43" i="30" s="1"/>
  <c r="E44" i="30"/>
  <c r="F44" i="30" s="1"/>
  <c r="E38" i="16"/>
  <c r="E39" i="16"/>
  <c r="E40" i="16"/>
  <c r="E41" i="16"/>
  <c r="E53" i="30"/>
  <c r="F53" i="30" s="1"/>
  <c r="E54" i="30"/>
  <c r="F54" i="30" s="1"/>
  <c r="E55" i="30"/>
  <c r="F55" i="30" s="1"/>
  <c r="E56" i="30"/>
  <c r="F56" i="30" s="1"/>
  <c r="E57" i="30"/>
  <c r="F57" i="30" s="1"/>
  <c r="E58" i="30"/>
  <c r="F58" i="30" s="1"/>
  <c r="E59" i="30"/>
  <c r="F59" i="30" s="1"/>
  <c r="E60" i="30"/>
  <c r="F60" i="30" s="1"/>
  <c r="E61" i="30"/>
  <c r="F61" i="30" s="1"/>
  <c r="E62" i="30"/>
  <c r="F62" i="30" s="1"/>
  <c r="E63" i="30"/>
  <c r="F63" i="30" s="1"/>
  <c r="E51" i="16"/>
  <c r="E52" i="16"/>
  <c r="E53" i="16"/>
  <c r="E54" i="16"/>
  <c r="E72" i="30"/>
  <c r="F72" i="30" s="1"/>
  <c r="E73" i="30"/>
  <c r="F73" i="30" s="1"/>
  <c r="E74" i="30"/>
  <c r="F74" i="30" s="1"/>
  <c r="E75" i="30"/>
  <c r="F75" i="30" s="1"/>
  <c r="E76" i="30"/>
  <c r="F76" i="30" s="1"/>
  <c r="E77" i="30"/>
  <c r="F77" i="30" s="1"/>
  <c r="E78" i="30"/>
  <c r="F78" i="30" s="1"/>
  <c r="E79" i="30"/>
  <c r="F79" i="30" s="1"/>
  <c r="E80" i="30"/>
  <c r="F80" i="30" s="1"/>
  <c r="E81" i="30"/>
  <c r="F81" i="30" s="1"/>
  <c r="E82" i="30"/>
  <c r="F82" i="30" s="1"/>
  <c r="E64" i="16"/>
  <c r="E65" i="16"/>
  <c r="E66" i="16"/>
  <c r="E67" i="16"/>
  <c r="E91" i="30"/>
  <c r="F91" i="30" s="1"/>
  <c r="E92" i="30"/>
  <c r="F92" i="30" s="1"/>
  <c r="E93" i="30"/>
  <c r="F93" i="30" s="1"/>
  <c r="E94" i="30"/>
  <c r="F94" i="30" s="1"/>
  <c r="E95" i="30"/>
  <c r="F95" i="30" s="1"/>
  <c r="E96" i="30"/>
  <c r="F96" i="30" s="1"/>
  <c r="E97" i="30"/>
  <c r="F97" i="30" s="1"/>
  <c r="E98" i="30"/>
  <c r="F98" i="30" s="1"/>
  <c r="E99" i="30"/>
  <c r="F99" i="30" s="1"/>
  <c r="E100" i="30"/>
  <c r="F100" i="30" s="1"/>
  <c r="E101" i="30"/>
  <c r="F101" i="30" s="1"/>
  <c r="E77" i="16"/>
  <c r="E78" i="16"/>
  <c r="E79" i="16"/>
  <c r="E80" i="16"/>
  <c r="E110" i="30"/>
  <c r="F110" i="30" s="1"/>
  <c r="E111" i="30"/>
  <c r="F111" i="30" s="1"/>
  <c r="E112" i="30"/>
  <c r="F112" i="30" s="1"/>
  <c r="E113" i="30"/>
  <c r="F113" i="30" s="1"/>
  <c r="E114" i="30"/>
  <c r="F114" i="30" s="1"/>
  <c r="E115" i="30"/>
  <c r="F115" i="30" s="1"/>
  <c r="E116" i="30"/>
  <c r="F116" i="30" s="1"/>
  <c r="E117" i="30"/>
  <c r="F117" i="30" s="1"/>
  <c r="E118" i="30"/>
  <c r="F118" i="30" s="1"/>
  <c r="E119" i="30"/>
  <c r="F119" i="30" s="1"/>
  <c r="E120" i="30"/>
  <c r="F120" i="30" s="1"/>
  <c r="E90" i="16"/>
  <c r="E91" i="16"/>
  <c r="E92" i="16"/>
  <c r="E93" i="16"/>
  <c r="E129" i="30"/>
  <c r="F129" i="30" s="1"/>
  <c r="E130" i="30"/>
  <c r="F130" i="30" s="1"/>
  <c r="E131" i="30"/>
  <c r="F131" i="30" s="1"/>
  <c r="E132" i="30"/>
  <c r="F132" i="30" s="1"/>
  <c r="E133" i="30"/>
  <c r="F133" i="30" s="1"/>
  <c r="E134" i="30"/>
  <c r="F134" i="30" s="1"/>
  <c r="E135" i="30"/>
  <c r="F135" i="30" s="1"/>
  <c r="E136" i="30"/>
  <c r="F136" i="30" s="1"/>
  <c r="E137" i="30"/>
  <c r="F137" i="30" s="1"/>
  <c r="E138" i="30"/>
  <c r="F138" i="30" s="1"/>
  <c r="E139" i="30"/>
  <c r="F139" i="30" s="1"/>
  <c r="E13" i="16"/>
  <c r="E14" i="16"/>
  <c r="E15" i="16"/>
  <c r="E15" i="30"/>
  <c r="F15" i="30" s="1"/>
  <c r="E16" i="30"/>
  <c r="F16" i="30" s="1"/>
  <c r="E17" i="30"/>
  <c r="F17" i="30" s="1"/>
  <c r="E18" i="30"/>
  <c r="F18" i="30" s="1"/>
  <c r="E19" i="30"/>
  <c r="F19" i="30" s="1"/>
  <c r="E20" i="30"/>
  <c r="F20" i="30" s="1"/>
  <c r="E21" i="30"/>
  <c r="F21" i="30" s="1"/>
  <c r="E22" i="30"/>
  <c r="F22" i="30" s="1"/>
  <c r="E23" i="30"/>
  <c r="F23" i="30" s="1"/>
  <c r="E24" i="30"/>
  <c r="F24" i="30" s="1"/>
  <c r="E25" i="30"/>
  <c r="F25" i="30" s="1"/>
  <c r="P23" i="3"/>
  <c r="I23" i="8" s="1"/>
  <c r="P21" i="3"/>
  <c r="H23" i="8" s="1"/>
  <c r="P19" i="3"/>
  <c r="G23" i="8" s="1"/>
  <c r="P17" i="3"/>
  <c r="F28" i="19" s="1"/>
  <c r="F23" i="8"/>
  <c r="P15" i="3"/>
  <c r="E23" i="8" s="1"/>
  <c r="P13" i="3"/>
  <c r="H22" i="27"/>
  <c r="H37" i="27"/>
  <c r="H53" i="27"/>
  <c r="H69" i="27"/>
  <c r="H85" i="27"/>
  <c r="H101" i="27"/>
  <c r="H117" i="27"/>
  <c r="D44" i="2"/>
  <c r="D45" i="2" s="1"/>
  <c r="D46" i="2" s="1"/>
  <c r="E44" i="2"/>
  <c r="E45" i="2" s="1"/>
  <c r="E46" i="2" s="1"/>
  <c r="F44" i="2"/>
  <c r="F45" i="2" s="1"/>
  <c r="F46" i="2" s="1"/>
  <c r="G44" i="2"/>
  <c r="G45" i="2" s="1"/>
  <c r="G46" i="2" s="1"/>
  <c r="H44" i="2"/>
  <c r="H45" i="2" s="1"/>
  <c r="I44" i="2"/>
  <c r="I45" i="2" s="1"/>
  <c r="I46" i="2" s="1"/>
  <c r="J44" i="2"/>
  <c r="J45" i="2" s="1"/>
  <c r="J46" i="2" s="1"/>
  <c r="K44" i="2"/>
  <c r="K45" i="2" s="1"/>
  <c r="K46" i="2" s="1"/>
  <c r="L44" i="2"/>
  <c r="M44" i="2"/>
  <c r="M45" i="2" s="1"/>
  <c r="M46" i="2" s="1"/>
  <c r="N44" i="2"/>
  <c r="N45" i="2" s="1"/>
  <c r="N46" i="2" s="1"/>
  <c r="O44" i="2"/>
  <c r="O45" i="2" s="1"/>
  <c r="O46" i="2" s="1"/>
  <c r="D39" i="2"/>
  <c r="D40" i="2" s="1"/>
  <c r="E39" i="2"/>
  <c r="E40" i="2" s="1"/>
  <c r="E41" i="2" s="1"/>
  <c r="F39" i="2"/>
  <c r="F40" i="2" s="1"/>
  <c r="F41" i="2" s="1"/>
  <c r="G39" i="2"/>
  <c r="G40" i="2" s="1"/>
  <c r="G41" i="2" s="1"/>
  <c r="H39" i="2"/>
  <c r="H40" i="2" s="1"/>
  <c r="H41" i="2" s="1"/>
  <c r="I39" i="2"/>
  <c r="I40" i="2" s="1"/>
  <c r="I41" i="2" s="1"/>
  <c r="J39" i="2"/>
  <c r="J40" i="2" s="1"/>
  <c r="J41" i="2" s="1"/>
  <c r="K39" i="2"/>
  <c r="K40" i="2" s="1"/>
  <c r="K41" i="2" s="1"/>
  <c r="L39" i="2"/>
  <c r="L40" i="2" s="1"/>
  <c r="L41" i="2" s="1"/>
  <c r="M39" i="2"/>
  <c r="M40" i="2" s="1"/>
  <c r="M41" i="2" s="1"/>
  <c r="N39" i="2"/>
  <c r="N40" i="2" s="1"/>
  <c r="N41" i="2" s="1"/>
  <c r="O39" i="2"/>
  <c r="O40" i="2" s="1"/>
  <c r="O41" i="2" s="1"/>
  <c r="D34" i="2"/>
  <c r="D35" i="2" s="1"/>
  <c r="D36" i="2" s="1"/>
  <c r="E34" i="2"/>
  <c r="E35" i="2" s="1"/>
  <c r="E36" i="2" s="1"/>
  <c r="F34" i="2"/>
  <c r="F35" i="2" s="1"/>
  <c r="G34" i="2"/>
  <c r="G35" i="2" s="1"/>
  <c r="G36" i="2" s="1"/>
  <c r="H34" i="2"/>
  <c r="H35" i="2" s="1"/>
  <c r="H36" i="2" s="1"/>
  <c r="I34" i="2"/>
  <c r="I35" i="2" s="1"/>
  <c r="I36" i="2" s="1"/>
  <c r="J34" i="2"/>
  <c r="J35" i="2" s="1"/>
  <c r="J36" i="2" s="1"/>
  <c r="K34" i="2"/>
  <c r="K35" i="2" s="1"/>
  <c r="K36" i="2" s="1"/>
  <c r="L34" i="2"/>
  <c r="L35" i="2" s="1"/>
  <c r="L36" i="2" s="1"/>
  <c r="M34" i="2"/>
  <c r="M35" i="2" s="1"/>
  <c r="M36" i="2" s="1"/>
  <c r="N34" i="2"/>
  <c r="N35" i="2" s="1"/>
  <c r="N36" i="2" s="1"/>
  <c r="O34" i="2"/>
  <c r="O35" i="2" s="1"/>
  <c r="O36" i="2" s="1"/>
  <c r="D29" i="2"/>
  <c r="D30" i="2" s="1"/>
  <c r="D31" i="2" s="1"/>
  <c r="E29" i="2"/>
  <c r="E30" i="2" s="1"/>
  <c r="E31" i="2" s="1"/>
  <c r="F29" i="2"/>
  <c r="F30" i="2" s="1"/>
  <c r="F31" i="2" s="1"/>
  <c r="G29" i="2"/>
  <c r="G30" i="2" s="1"/>
  <c r="G31" i="2" s="1"/>
  <c r="H29" i="2"/>
  <c r="H30" i="2" s="1"/>
  <c r="H31" i="2" s="1"/>
  <c r="I29" i="2"/>
  <c r="I30" i="2" s="1"/>
  <c r="I31" i="2" s="1"/>
  <c r="J29" i="2"/>
  <c r="J30" i="2" s="1"/>
  <c r="J31" i="2" s="1"/>
  <c r="K29" i="2"/>
  <c r="K30" i="2" s="1"/>
  <c r="K31" i="2" s="1"/>
  <c r="L29" i="2"/>
  <c r="L30" i="2" s="1"/>
  <c r="L31" i="2" s="1"/>
  <c r="M29" i="2"/>
  <c r="M30" i="2" s="1"/>
  <c r="M31" i="2" s="1"/>
  <c r="N29" i="2"/>
  <c r="N30" i="2" s="1"/>
  <c r="N31" i="2" s="1"/>
  <c r="O29" i="2"/>
  <c r="O30" i="2" s="1"/>
  <c r="O31" i="2" s="1"/>
  <c r="D24" i="2"/>
  <c r="D25" i="2" s="1"/>
  <c r="D26" i="2" s="1"/>
  <c r="E24" i="2"/>
  <c r="E25" i="2" s="1"/>
  <c r="E26" i="2" s="1"/>
  <c r="F24" i="2"/>
  <c r="F25" i="2" s="1"/>
  <c r="F26" i="2" s="1"/>
  <c r="G24" i="2"/>
  <c r="G25" i="2" s="1"/>
  <c r="G26" i="2" s="1"/>
  <c r="H24" i="2"/>
  <c r="H25" i="2" s="1"/>
  <c r="H26" i="2" s="1"/>
  <c r="I24" i="2"/>
  <c r="I25" i="2" s="1"/>
  <c r="I26" i="2" s="1"/>
  <c r="J24" i="2"/>
  <c r="J25" i="2" s="1"/>
  <c r="J26" i="2" s="1"/>
  <c r="K24" i="2"/>
  <c r="K25" i="2" s="1"/>
  <c r="K26" i="2" s="1"/>
  <c r="L24" i="2"/>
  <c r="L25" i="2" s="1"/>
  <c r="L26" i="2" s="1"/>
  <c r="M24" i="2"/>
  <c r="M25" i="2" s="1"/>
  <c r="M26" i="2" s="1"/>
  <c r="N24" i="2"/>
  <c r="N25" i="2" s="1"/>
  <c r="N26" i="2" s="1"/>
  <c r="O24" i="2"/>
  <c r="O25" i="2" s="1"/>
  <c r="O26" i="2" s="1"/>
  <c r="D19" i="2"/>
  <c r="D20" i="2" s="1"/>
  <c r="E19" i="2"/>
  <c r="E20" i="2" s="1"/>
  <c r="E21" i="2" s="1"/>
  <c r="F19" i="2"/>
  <c r="F20" i="2" s="1"/>
  <c r="F21" i="2" s="1"/>
  <c r="G19" i="2"/>
  <c r="G20" i="2" s="1"/>
  <c r="G21" i="2" s="1"/>
  <c r="H19" i="2"/>
  <c r="H20" i="2" s="1"/>
  <c r="H21" i="2" s="1"/>
  <c r="I19" i="2"/>
  <c r="I20" i="2" s="1"/>
  <c r="I21" i="2" s="1"/>
  <c r="J19" i="2"/>
  <c r="J20" i="2" s="1"/>
  <c r="J21" i="2" s="1"/>
  <c r="K19" i="2"/>
  <c r="K20" i="2" s="1"/>
  <c r="K21" i="2" s="1"/>
  <c r="L19" i="2"/>
  <c r="L20" i="2" s="1"/>
  <c r="L21" i="2" s="1"/>
  <c r="M19" i="2"/>
  <c r="M20" i="2" s="1"/>
  <c r="M21" i="2" s="1"/>
  <c r="N19" i="2"/>
  <c r="N20" i="2" s="1"/>
  <c r="N21" i="2" s="1"/>
  <c r="O19" i="2"/>
  <c r="O20" i="2" s="1"/>
  <c r="O21" i="2" s="1"/>
  <c r="D14" i="2"/>
  <c r="D15" i="2" s="1"/>
  <c r="E14" i="2"/>
  <c r="E15" i="2" s="1"/>
  <c r="E16" i="2" s="1"/>
  <c r="F14" i="2"/>
  <c r="G14" i="2"/>
  <c r="G15" i="2" s="1"/>
  <c r="G16" i="2" s="1"/>
  <c r="H14" i="2"/>
  <c r="H15" i="2" s="1"/>
  <c r="H16" i="2" s="1"/>
  <c r="I14" i="2"/>
  <c r="I15" i="2" s="1"/>
  <c r="I16" i="2" s="1"/>
  <c r="J14" i="2"/>
  <c r="J15" i="2" s="1"/>
  <c r="J16" i="2" s="1"/>
  <c r="K14" i="2"/>
  <c r="K15" i="2" s="1"/>
  <c r="K16" i="2" s="1"/>
  <c r="L14" i="2"/>
  <c r="L15" i="2" s="1"/>
  <c r="L16" i="2" s="1"/>
  <c r="M14" i="2"/>
  <c r="M15" i="2" s="1"/>
  <c r="M16" i="2" s="1"/>
  <c r="N14" i="2"/>
  <c r="N15" i="2" s="1"/>
  <c r="N16" i="2" s="1"/>
  <c r="O14" i="2"/>
  <c r="O15" i="2" s="1"/>
  <c r="O16" i="2" s="1"/>
  <c r="H13" i="8"/>
  <c r="F36" i="27"/>
  <c r="H36" i="27"/>
  <c r="F117" i="27"/>
  <c r="F101" i="27"/>
  <c r="F85" i="27"/>
  <c r="F69" i="27"/>
  <c r="F53" i="27"/>
  <c r="F37" i="27"/>
  <c r="H116" i="27"/>
  <c r="H100" i="27"/>
  <c r="H84" i="27"/>
  <c r="H68" i="27"/>
  <c r="H52" i="27"/>
  <c r="D305" i="17"/>
  <c r="J112" i="27" s="1"/>
  <c r="D304" i="17"/>
  <c r="J96" i="27" s="1"/>
  <c r="D303" i="17"/>
  <c r="J80" i="27" s="1"/>
  <c r="D302" i="17"/>
  <c r="J64" i="27" s="1"/>
  <c r="D301" i="17"/>
  <c r="J48" i="27" s="1"/>
  <c r="J32" i="27"/>
  <c r="D291" i="17"/>
  <c r="J111" i="27" s="1"/>
  <c r="D290" i="17"/>
  <c r="J95" i="27" s="1"/>
  <c r="D289" i="17"/>
  <c r="J79" i="27" s="1"/>
  <c r="D288" i="17"/>
  <c r="J63" i="27" s="1"/>
  <c r="D287" i="17"/>
  <c r="J47" i="27" s="1"/>
  <c r="D286" i="17"/>
  <c r="J31" i="27" s="1"/>
  <c r="D271" i="17"/>
  <c r="E186" i="28" s="1"/>
  <c r="D270" i="17"/>
  <c r="E160" i="28" s="1"/>
  <c r="D269" i="17"/>
  <c r="E134" i="28" s="1"/>
  <c r="D268" i="17"/>
  <c r="E108" i="28" s="1"/>
  <c r="D267" i="17"/>
  <c r="E82" i="28" s="1"/>
  <c r="D266" i="17"/>
  <c r="E56" i="28" s="1"/>
  <c r="D265" i="17"/>
  <c r="E30" i="28" s="1"/>
  <c r="D205" i="17"/>
  <c r="E157" i="25" s="1"/>
  <c r="D204" i="17"/>
  <c r="E134" i="25" s="1"/>
  <c r="D203" i="17"/>
  <c r="E111" i="25" s="1"/>
  <c r="D202" i="17"/>
  <c r="E96" i="28" s="1"/>
  <c r="D201" i="17"/>
  <c r="E65" i="25" s="1"/>
  <c r="D200" i="17"/>
  <c r="E42" i="25" s="1"/>
  <c r="D199" i="17"/>
  <c r="E19" i="25" s="1"/>
  <c r="D140" i="17"/>
  <c r="D139" i="17"/>
  <c r="D138" i="17"/>
  <c r="D137" i="17"/>
  <c r="D136" i="17"/>
  <c r="D135" i="17"/>
  <c r="D134" i="17"/>
  <c r="D314" i="17"/>
  <c r="H114" i="27" s="1"/>
  <c r="D313" i="17"/>
  <c r="H98" i="27" s="1"/>
  <c r="D312" i="17"/>
  <c r="H82" i="27" s="1"/>
  <c r="D311" i="17"/>
  <c r="D318" i="17" s="1"/>
  <c r="J66" i="27" s="1"/>
  <c r="D310" i="17"/>
  <c r="H50" i="27" s="1"/>
  <c r="D309" i="17"/>
  <c r="H34" i="27" s="1"/>
  <c r="D308" i="17"/>
  <c r="D315" i="17" s="1"/>
  <c r="J19" i="27" s="1"/>
  <c r="D299" i="17"/>
  <c r="J17" i="27" s="1"/>
  <c r="H112" i="27"/>
  <c r="H96" i="27"/>
  <c r="H80" i="27"/>
  <c r="H64" i="27"/>
  <c r="H48" i="27"/>
  <c r="H32" i="27"/>
  <c r="J16" i="27"/>
  <c r="H111" i="27"/>
  <c r="H95" i="27"/>
  <c r="H79" i="27"/>
  <c r="H63" i="27"/>
  <c r="H47" i="27"/>
  <c r="H31" i="27"/>
  <c r="E166" i="25"/>
  <c r="E143" i="25"/>
  <c r="E120" i="25"/>
  <c r="E97" i="25"/>
  <c r="E74" i="25"/>
  <c r="E51" i="25"/>
  <c r="E73" i="25"/>
  <c r="E96" i="25"/>
  <c r="E119" i="25"/>
  <c r="E165" i="25"/>
  <c r="E142" i="25"/>
  <c r="E50" i="25"/>
  <c r="E181" i="28"/>
  <c r="E155" i="28"/>
  <c r="E129" i="28"/>
  <c r="E103" i="28"/>
  <c r="E77" i="28"/>
  <c r="E51" i="28"/>
  <c r="E163" i="25"/>
  <c r="E140" i="25"/>
  <c r="E117" i="25"/>
  <c r="E94" i="25"/>
  <c r="E71" i="25"/>
  <c r="E48" i="25"/>
  <c r="E179" i="28"/>
  <c r="E153" i="28"/>
  <c r="E127" i="28"/>
  <c r="E101" i="28"/>
  <c r="E75" i="28"/>
  <c r="E49" i="28"/>
  <c r="E177" i="28"/>
  <c r="E151" i="28"/>
  <c r="E125" i="28"/>
  <c r="E99" i="28"/>
  <c r="E73" i="28"/>
  <c r="E47" i="28"/>
  <c r="E161" i="25"/>
  <c r="E138" i="25"/>
  <c r="E115" i="25"/>
  <c r="E92" i="25"/>
  <c r="E69" i="25"/>
  <c r="E46" i="25"/>
  <c r="E178" i="28"/>
  <c r="E152" i="28"/>
  <c r="E126" i="28"/>
  <c r="E100" i="28"/>
  <c r="E74" i="28"/>
  <c r="E48" i="28"/>
  <c r="E162" i="25"/>
  <c r="E139" i="25"/>
  <c r="E116" i="25"/>
  <c r="E93" i="25"/>
  <c r="E70" i="25"/>
  <c r="E47" i="25"/>
  <c r="E160" i="25"/>
  <c r="E137" i="25"/>
  <c r="E114" i="25"/>
  <c r="E91" i="25"/>
  <c r="E68" i="25"/>
  <c r="E45" i="25"/>
  <c r="E43" i="25"/>
  <c r="E172" i="28"/>
  <c r="E146" i="28"/>
  <c r="E120" i="28"/>
  <c r="E94" i="28"/>
  <c r="E68" i="28"/>
  <c r="E42" i="28"/>
  <c r="E155" i="25"/>
  <c r="E132" i="25"/>
  <c r="E109" i="25"/>
  <c r="E86" i="25"/>
  <c r="E63" i="25"/>
  <c r="E40" i="25"/>
  <c r="E170" i="28"/>
  <c r="E144" i="28"/>
  <c r="E118" i="28"/>
  <c r="E92" i="28"/>
  <c r="E66" i="28"/>
  <c r="E40" i="28"/>
  <c r="E153" i="25"/>
  <c r="E130" i="25"/>
  <c r="E107" i="25"/>
  <c r="E84" i="25"/>
  <c r="E61" i="25"/>
  <c r="E38" i="25"/>
  <c r="E169" i="28"/>
  <c r="E117" i="28"/>
  <c r="E91" i="28"/>
  <c r="E65" i="28"/>
  <c r="E39" i="28"/>
  <c r="E152" i="25"/>
  <c r="E129" i="25"/>
  <c r="E106" i="25"/>
  <c r="E83" i="25"/>
  <c r="E60" i="25"/>
  <c r="E37" i="25"/>
  <c r="E168" i="28"/>
  <c r="E116" i="28"/>
  <c r="E90" i="28"/>
  <c r="E64" i="28"/>
  <c r="E38" i="28"/>
  <c r="E151" i="25"/>
  <c r="E128" i="25"/>
  <c r="E105" i="25"/>
  <c r="E82" i="25"/>
  <c r="E59" i="25"/>
  <c r="E36" i="25"/>
  <c r="F114" i="27"/>
  <c r="F98" i="27"/>
  <c r="F82" i="27"/>
  <c r="F66" i="27"/>
  <c r="F50" i="27"/>
  <c r="F34" i="27"/>
  <c r="E95" i="16"/>
  <c r="E82" i="16"/>
  <c r="E69" i="16"/>
  <c r="E56" i="16"/>
  <c r="E43" i="16"/>
  <c r="E30" i="16"/>
  <c r="F112" i="27"/>
  <c r="F96" i="27"/>
  <c r="F80" i="27"/>
  <c r="F64" i="27"/>
  <c r="F48" i="27"/>
  <c r="F32" i="27"/>
  <c r="F116" i="27"/>
  <c r="K116" i="27" s="1"/>
  <c r="F100" i="27"/>
  <c r="F84" i="27"/>
  <c r="F68" i="27"/>
  <c r="F52" i="27"/>
  <c r="F111" i="27"/>
  <c r="F95" i="27"/>
  <c r="F79" i="27"/>
  <c r="F63" i="27"/>
  <c r="F47" i="27"/>
  <c r="F31" i="27"/>
  <c r="P27" i="14"/>
  <c r="I20" i="19" s="1"/>
  <c r="E24" i="25"/>
  <c r="E21" i="28"/>
  <c r="E22" i="28"/>
  <c r="E14" i="28"/>
  <c r="E17" i="28"/>
  <c r="E19" i="28"/>
  <c r="E23" i="28"/>
  <c r="E24" i="28"/>
  <c r="E25" i="28"/>
  <c r="E26" i="28"/>
  <c r="E28" i="28"/>
  <c r="E29" i="28"/>
  <c r="E31" i="28"/>
  <c r="P181" i="15"/>
  <c r="D186" i="15"/>
  <c r="D166" i="15"/>
  <c r="P166" i="15" s="1"/>
  <c r="D162" i="15"/>
  <c r="P162" i="15" s="1"/>
  <c r="D159" i="15"/>
  <c r="P154" i="15"/>
  <c r="D132" i="15"/>
  <c r="P127" i="15"/>
  <c r="D112" i="15"/>
  <c r="D108" i="15"/>
  <c r="P108" i="15" s="1"/>
  <c r="F49" i="19" s="1"/>
  <c r="D105" i="15"/>
  <c r="P100" i="15"/>
  <c r="K198" i="15"/>
  <c r="O171" i="15"/>
  <c r="K144" i="15"/>
  <c r="G117" i="15"/>
  <c r="O117" i="15"/>
  <c r="D81" i="15"/>
  <c r="P81" i="15" s="1"/>
  <c r="E49" i="19" s="1"/>
  <c r="D78" i="15"/>
  <c r="P73" i="15"/>
  <c r="D54" i="15"/>
  <c r="D51" i="15"/>
  <c r="P46" i="15"/>
  <c r="G164" i="15"/>
  <c r="O164" i="15"/>
  <c r="G5" i="15"/>
  <c r="D183" i="15" s="1"/>
  <c r="G7" i="15"/>
  <c r="D27" i="15" s="1"/>
  <c r="G4" i="15"/>
  <c r="E45" i="15" s="1"/>
  <c r="P45" i="15" s="1"/>
  <c r="D45" i="15"/>
  <c r="E51" i="15"/>
  <c r="P51" i="15" s="1"/>
  <c r="E54" i="15"/>
  <c r="F51" i="15"/>
  <c r="F54" i="15"/>
  <c r="F45" i="15"/>
  <c r="G51" i="15"/>
  <c r="G54" i="15"/>
  <c r="G45" i="15"/>
  <c r="H51" i="15"/>
  <c r="H54" i="15"/>
  <c r="H45" i="15"/>
  <c r="I51" i="15"/>
  <c r="I54" i="15"/>
  <c r="I45" i="15"/>
  <c r="J51" i="15"/>
  <c r="J54" i="15"/>
  <c r="J45" i="15"/>
  <c r="K51" i="15"/>
  <c r="K54" i="15"/>
  <c r="K45" i="15"/>
  <c r="L51" i="15"/>
  <c r="L54" i="15"/>
  <c r="L45" i="15"/>
  <c r="M51" i="15"/>
  <c r="M54" i="15"/>
  <c r="M45" i="15"/>
  <c r="N51" i="15"/>
  <c r="N54" i="15"/>
  <c r="N45" i="15"/>
  <c r="O51" i="15"/>
  <c r="O54" i="15"/>
  <c r="O45" i="15"/>
  <c r="D180" i="15"/>
  <c r="E186" i="15"/>
  <c r="E189" i="15"/>
  <c r="E180" i="15"/>
  <c r="F186" i="15"/>
  <c r="F189" i="15"/>
  <c r="F180" i="15"/>
  <c r="G186" i="15"/>
  <c r="G189" i="15"/>
  <c r="G180" i="15"/>
  <c r="H186" i="15"/>
  <c r="H189" i="15"/>
  <c r="H180" i="15"/>
  <c r="I186" i="15"/>
  <c r="I189" i="15"/>
  <c r="I180" i="15"/>
  <c r="J186" i="15"/>
  <c r="J189" i="15"/>
  <c r="J180" i="15"/>
  <c r="K186" i="15"/>
  <c r="K189" i="15"/>
  <c r="K180" i="15"/>
  <c r="L186" i="15"/>
  <c r="L189" i="15"/>
  <c r="L180" i="15"/>
  <c r="M186" i="15"/>
  <c r="M189" i="15"/>
  <c r="M180" i="15"/>
  <c r="N186" i="15"/>
  <c r="N189" i="15"/>
  <c r="N180" i="15"/>
  <c r="O186" i="15"/>
  <c r="O189" i="15"/>
  <c r="O180" i="15"/>
  <c r="D153" i="15"/>
  <c r="E159" i="15"/>
  <c r="P159" i="15" s="1"/>
  <c r="E156" i="15"/>
  <c r="E162" i="15"/>
  <c r="E153" i="15"/>
  <c r="F159" i="15"/>
  <c r="F162" i="15"/>
  <c r="F153" i="15"/>
  <c r="G159" i="15"/>
  <c r="G156" i="15"/>
  <c r="G162" i="15"/>
  <c r="G153" i="15"/>
  <c r="H159" i="15"/>
  <c r="H162" i="15"/>
  <c r="H153" i="15"/>
  <c r="I159" i="15"/>
  <c r="I156" i="15"/>
  <c r="I164" i="15" s="1"/>
  <c r="I162" i="15"/>
  <c r="I153" i="15"/>
  <c r="J159" i="15"/>
  <c r="J162" i="15"/>
  <c r="J153" i="15"/>
  <c r="K159" i="15"/>
  <c r="K164" i="15" s="1"/>
  <c r="K156" i="15"/>
  <c r="K162" i="15"/>
  <c r="K153" i="15"/>
  <c r="L159" i="15"/>
  <c r="L162" i="15"/>
  <c r="L153" i="15"/>
  <c r="M159" i="15"/>
  <c r="M164" i="15" s="1"/>
  <c r="M156" i="15"/>
  <c r="M162" i="15"/>
  <c r="M153" i="15"/>
  <c r="N159" i="15"/>
  <c r="N162" i="15"/>
  <c r="N153" i="15"/>
  <c r="O159" i="15"/>
  <c r="O156" i="15"/>
  <c r="O162" i="15"/>
  <c r="O153" i="15"/>
  <c r="D126" i="15"/>
  <c r="E132" i="15"/>
  <c r="E135" i="15"/>
  <c r="E126" i="15"/>
  <c r="F132" i="15"/>
  <c r="F135" i="15"/>
  <c r="F126" i="15"/>
  <c r="G132" i="15"/>
  <c r="G135" i="15"/>
  <c r="G126" i="15"/>
  <c r="H132" i="15"/>
  <c r="H135" i="15"/>
  <c r="H126" i="15"/>
  <c r="I132" i="15"/>
  <c r="I135" i="15"/>
  <c r="I126" i="15"/>
  <c r="J132" i="15"/>
  <c r="J135" i="15"/>
  <c r="J126" i="15"/>
  <c r="K132" i="15"/>
  <c r="K135" i="15"/>
  <c r="K126" i="15"/>
  <c r="L132" i="15"/>
  <c r="L135" i="15"/>
  <c r="L126" i="15"/>
  <c r="M132" i="15"/>
  <c r="M135" i="15"/>
  <c r="M126" i="15"/>
  <c r="N132" i="15"/>
  <c r="N135" i="15"/>
  <c r="N126" i="15"/>
  <c r="O132" i="15"/>
  <c r="O135" i="15"/>
  <c r="O126" i="15"/>
  <c r="D99" i="15"/>
  <c r="E105" i="15"/>
  <c r="P105" i="15" s="1"/>
  <c r="E108" i="15"/>
  <c r="E99" i="15"/>
  <c r="F105" i="15"/>
  <c r="F102" i="15"/>
  <c r="F108" i="15"/>
  <c r="F99" i="15"/>
  <c r="G105" i="15"/>
  <c r="G108" i="15"/>
  <c r="G99" i="15"/>
  <c r="H105" i="15"/>
  <c r="H102" i="15"/>
  <c r="H108" i="15"/>
  <c r="H99" i="15"/>
  <c r="I105" i="15"/>
  <c r="I108" i="15"/>
  <c r="I99" i="15"/>
  <c r="J105" i="15"/>
  <c r="J110" i="15" s="1"/>
  <c r="J102" i="15"/>
  <c r="J108" i="15"/>
  <c r="J99" i="15"/>
  <c r="K105" i="15"/>
  <c r="K108" i="15"/>
  <c r="K99" i="15"/>
  <c r="L105" i="15"/>
  <c r="L102" i="15"/>
  <c r="L108" i="15"/>
  <c r="L99" i="15"/>
  <c r="M105" i="15"/>
  <c r="M108" i="15"/>
  <c r="M99" i="15"/>
  <c r="N105" i="15"/>
  <c r="N110" i="15" s="1"/>
  <c r="N102" i="15"/>
  <c r="N108" i="15"/>
  <c r="N99" i="15"/>
  <c r="O105" i="15"/>
  <c r="O108" i="15"/>
  <c r="O99" i="15"/>
  <c r="D72" i="15"/>
  <c r="E78" i="15"/>
  <c r="E81" i="15"/>
  <c r="E72" i="15"/>
  <c r="F78" i="15"/>
  <c r="F81" i="15"/>
  <c r="F72" i="15"/>
  <c r="G78" i="15"/>
  <c r="G81" i="15"/>
  <c r="G72" i="15"/>
  <c r="H78" i="15"/>
  <c r="H81" i="15"/>
  <c r="H72" i="15"/>
  <c r="I78" i="15"/>
  <c r="I81" i="15"/>
  <c r="I72" i="15"/>
  <c r="J78" i="15"/>
  <c r="J81" i="15"/>
  <c r="J72" i="15"/>
  <c r="K78" i="15"/>
  <c r="K81" i="15"/>
  <c r="K72" i="15"/>
  <c r="L78" i="15"/>
  <c r="L81" i="15"/>
  <c r="L72" i="15"/>
  <c r="M78" i="15"/>
  <c r="M81" i="15"/>
  <c r="M72" i="15"/>
  <c r="N78" i="15"/>
  <c r="N81" i="15"/>
  <c r="N72" i="15"/>
  <c r="O78" i="15"/>
  <c r="O81" i="15"/>
  <c r="O72" i="15"/>
  <c r="D24" i="15"/>
  <c r="D18" i="15"/>
  <c r="G8" i="15"/>
  <c r="D193" i="15" s="1"/>
  <c r="E58" i="15"/>
  <c r="E63" i="15" s="1"/>
  <c r="G58" i="15"/>
  <c r="H58" i="15"/>
  <c r="L58" i="15"/>
  <c r="L63" i="15" s="1"/>
  <c r="M58" i="15"/>
  <c r="M63" i="15" s="1"/>
  <c r="O58" i="15"/>
  <c r="E61" i="15"/>
  <c r="I61" i="15"/>
  <c r="J61" i="15"/>
  <c r="L61" i="15"/>
  <c r="M61" i="15"/>
  <c r="P49" i="15"/>
  <c r="P52" i="15"/>
  <c r="P55" i="15"/>
  <c r="P59" i="15"/>
  <c r="P62" i="15"/>
  <c r="P197" i="15"/>
  <c r="P170" i="15"/>
  <c r="P143" i="15"/>
  <c r="P116" i="15"/>
  <c r="P89" i="15"/>
  <c r="P194" i="15"/>
  <c r="P167" i="15"/>
  <c r="P140" i="15"/>
  <c r="P113" i="15"/>
  <c r="P86" i="15"/>
  <c r="P190" i="15"/>
  <c r="P163" i="15"/>
  <c r="P136" i="15"/>
  <c r="P109" i="15"/>
  <c r="P82" i="15"/>
  <c r="P187" i="15"/>
  <c r="P160" i="15"/>
  <c r="P133" i="15"/>
  <c r="P106" i="15"/>
  <c r="P79" i="15"/>
  <c r="P184" i="15"/>
  <c r="P157" i="15"/>
  <c r="P130" i="15"/>
  <c r="P103" i="15"/>
  <c r="P76" i="15"/>
  <c r="E34" i="15"/>
  <c r="F34" i="15"/>
  <c r="G34" i="15"/>
  <c r="H31" i="15"/>
  <c r="H34" i="15"/>
  <c r="I34" i="15"/>
  <c r="J31" i="15"/>
  <c r="J36" i="15" s="1"/>
  <c r="J34" i="15"/>
  <c r="K31" i="15"/>
  <c r="L31" i="15"/>
  <c r="L34" i="15"/>
  <c r="M31" i="15"/>
  <c r="M36" i="15" s="1"/>
  <c r="M34" i="15"/>
  <c r="N31" i="15"/>
  <c r="N36" i="15" s="1"/>
  <c r="N34" i="15"/>
  <c r="O31" i="15"/>
  <c r="O36" i="15" s="1"/>
  <c r="O34" i="15"/>
  <c r="E24" i="15"/>
  <c r="E21" i="15"/>
  <c r="E27" i="15"/>
  <c r="E18" i="15"/>
  <c r="F24" i="15"/>
  <c r="F21" i="15"/>
  <c r="F27" i="15"/>
  <c r="F18" i="15"/>
  <c r="G24" i="15"/>
  <c r="G21" i="15"/>
  <c r="G27" i="15"/>
  <c r="G18" i="15"/>
  <c r="H24" i="15"/>
  <c r="H21" i="15"/>
  <c r="H27" i="15"/>
  <c r="H18" i="15"/>
  <c r="I24" i="15"/>
  <c r="I21" i="15"/>
  <c r="I27" i="15"/>
  <c r="I18" i="15"/>
  <c r="J24" i="15"/>
  <c r="J21" i="15"/>
  <c r="J27" i="15"/>
  <c r="J18" i="15"/>
  <c r="K24" i="15"/>
  <c r="K21" i="15"/>
  <c r="K27" i="15"/>
  <c r="K18" i="15"/>
  <c r="L24" i="15"/>
  <c r="L21" i="15"/>
  <c r="L27" i="15"/>
  <c r="L18" i="15"/>
  <c r="M24" i="15"/>
  <c r="M21" i="15"/>
  <c r="M27" i="15"/>
  <c r="M18" i="15"/>
  <c r="N24" i="15"/>
  <c r="N21" i="15"/>
  <c r="N27" i="15"/>
  <c r="N18" i="15"/>
  <c r="O24" i="15"/>
  <c r="O21" i="15"/>
  <c r="O27" i="15"/>
  <c r="P17" i="15"/>
  <c r="P35" i="15"/>
  <c r="P32" i="15"/>
  <c r="P28" i="15"/>
  <c r="P25" i="15"/>
  <c r="P22" i="15"/>
  <c r="P19" i="15"/>
  <c r="E184" i="28"/>
  <c r="E158" i="28"/>
  <c r="E132" i="28"/>
  <c r="E106" i="28"/>
  <c r="E80" i="28"/>
  <c r="E54" i="28"/>
  <c r="E187" i="28"/>
  <c r="E161" i="28"/>
  <c r="E135" i="28"/>
  <c r="E109" i="28"/>
  <c r="E83" i="28"/>
  <c r="E57" i="28"/>
  <c r="E185" i="28"/>
  <c r="E159" i="28"/>
  <c r="E133" i="28"/>
  <c r="E107" i="28"/>
  <c r="E81" i="28"/>
  <c r="E55" i="28"/>
  <c r="F134" i="17"/>
  <c r="C14" i="11"/>
  <c r="E24" i="3"/>
  <c r="F24" i="3"/>
  <c r="G24" i="3"/>
  <c r="H24" i="3"/>
  <c r="I24" i="3"/>
  <c r="J24" i="3"/>
  <c r="K24" i="3"/>
  <c r="L24" i="3"/>
  <c r="M24" i="3"/>
  <c r="N24" i="3"/>
  <c r="O24" i="3"/>
  <c r="D24" i="3"/>
  <c r="E22" i="3"/>
  <c r="F22" i="3"/>
  <c r="G22" i="3"/>
  <c r="H22" i="3"/>
  <c r="I22" i="3"/>
  <c r="J22" i="3"/>
  <c r="K22" i="3"/>
  <c r="L22" i="3"/>
  <c r="M22" i="3"/>
  <c r="N22" i="3"/>
  <c r="O22" i="3"/>
  <c r="D22" i="3"/>
  <c r="P22" i="3" s="1"/>
  <c r="H29" i="19" s="1"/>
  <c r="E20" i="3"/>
  <c r="F20" i="3"/>
  <c r="G20" i="3"/>
  <c r="P20" i="3" s="1"/>
  <c r="G29" i="19" s="1"/>
  <c r="H20" i="3"/>
  <c r="I20" i="3"/>
  <c r="J20" i="3"/>
  <c r="K20" i="3"/>
  <c r="L20" i="3"/>
  <c r="M20" i="3"/>
  <c r="N20" i="3"/>
  <c r="O20" i="3"/>
  <c r="D20" i="3"/>
  <c r="E18" i="3"/>
  <c r="F18" i="3"/>
  <c r="G18" i="3"/>
  <c r="H18" i="3"/>
  <c r="I18" i="3"/>
  <c r="J18" i="3"/>
  <c r="K18" i="3"/>
  <c r="L18" i="3"/>
  <c r="M18" i="3"/>
  <c r="N18" i="3"/>
  <c r="O18" i="3"/>
  <c r="D18" i="3"/>
  <c r="E16" i="3"/>
  <c r="F16" i="3"/>
  <c r="G16" i="3"/>
  <c r="H16" i="3"/>
  <c r="I16" i="3"/>
  <c r="J16" i="3"/>
  <c r="K16" i="3"/>
  <c r="L16" i="3"/>
  <c r="M16" i="3"/>
  <c r="N16" i="3"/>
  <c r="O16" i="3"/>
  <c r="D16" i="3"/>
  <c r="P16" i="3" s="1"/>
  <c r="E29" i="19" s="1"/>
  <c r="E14" i="3"/>
  <c r="F14" i="3"/>
  <c r="G14" i="3"/>
  <c r="H14" i="3"/>
  <c r="I14" i="3"/>
  <c r="J14" i="3"/>
  <c r="K14" i="3"/>
  <c r="L14" i="3"/>
  <c r="M14" i="3"/>
  <c r="N14" i="3"/>
  <c r="O14" i="3"/>
  <c r="D14" i="3"/>
  <c r="P14" i="3" s="1"/>
  <c r="D29" i="19" s="1"/>
  <c r="D12" i="3"/>
  <c r="P12" i="3" s="1"/>
  <c r="P43" i="2"/>
  <c r="P38" i="2"/>
  <c r="P33" i="2"/>
  <c r="P28" i="2"/>
  <c r="P23" i="2"/>
  <c r="P18" i="2"/>
  <c r="P13" i="2"/>
  <c r="B89" i="16"/>
  <c r="E94" i="16"/>
  <c r="B76" i="16"/>
  <c r="E81" i="16"/>
  <c r="B63" i="16"/>
  <c r="B50" i="16"/>
  <c r="B37" i="16"/>
  <c r="B24" i="16"/>
  <c r="E68" i="16"/>
  <c r="E55" i="16"/>
  <c r="E42" i="16"/>
  <c r="E29" i="16"/>
  <c r="E17" i="16"/>
  <c r="E16" i="16"/>
  <c r="L45" i="2"/>
  <c r="L46" i="2" s="1"/>
  <c r="B167" i="28"/>
  <c r="B141" i="28"/>
  <c r="B115" i="28"/>
  <c r="B89" i="28"/>
  <c r="B63" i="28"/>
  <c r="B37" i="28"/>
  <c r="E182" i="28"/>
  <c r="E180" i="28"/>
  <c r="E173" i="28"/>
  <c r="E156" i="28"/>
  <c r="E154" i="28"/>
  <c r="E147" i="28"/>
  <c r="E130" i="28"/>
  <c r="E128" i="28"/>
  <c r="E121" i="28"/>
  <c r="E104" i="28"/>
  <c r="E102" i="28"/>
  <c r="E95" i="28"/>
  <c r="E78" i="28"/>
  <c r="E76" i="28"/>
  <c r="E69" i="28"/>
  <c r="E52" i="28"/>
  <c r="E50" i="28"/>
  <c r="E43" i="28"/>
  <c r="E164" i="25"/>
  <c r="E141" i="25"/>
  <c r="E118" i="25"/>
  <c r="E95" i="25"/>
  <c r="E72" i="25"/>
  <c r="E49" i="25"/>
  <c r="E28" i="25"/>
  <c r="E27" i="25"/>
  <c r="E26" i="25"/>
  <c r="E25" i="25"/>
  <c r="E23" i="25"/>
  <c r="E22" i="25"/>
  <c r="E20" i="25"/>
  <c r="E156" i="25"/>
  <c r="E133" i="25"/>
  <c r="E110" i="25"/>
  <c r="E87" i="25"/>
  <c r="E64" i="25"/>
  <c r="E41" i="25"/>
  <c r="E18" i="25"/>
  <c r="E15" i="25"/>
  <c r="J113" i="27"/>
  <c r="J97" i="27"/>
  <c r="J81" i="27"/>
  <c r="J65" i="27"/>
  <c r="J49" i="27"/>
  <c r="J33" i="27"/>
  <c r="H113" i="27"/>
  <c r="H97" i="27"/>
  <c r="H81" i="27"/>
  <c r="H65" i="27"/>
  <c r="H49" i="27"/>
  <c r="H33" i="27"/>
  <c r="F113" i="27"/>
  <c r="F97" i="27"/>
  <c r="F81" i="27"/>
  <c r="F65" i="27"/>
  <c r="F49" i="27"/>
  <c r="F33" i="27"/>
  <c r="H21" i="27"/>
  <c r="F22" i="27"/>
  <c r="F21" i="27"/>
  <c r="J18" i="27"/>
  <c r="H18" i="27"/>
  <c r="H17" i="27"/>
  <c r="H16" i="27"/>
  <c r="F19" i="27"/>
  <c r="F18" i="27"/>
  <c r="F17" i="27"/>
  <c r="D16" i="14"/>
  <c r="P16" i="14" s="1"/>
  <c r="C21" i="19" s="1"/>
  <c r="E28" i="14"/>
  <c r="F28" i="14"/>
  <c r="G28" i="14"/>
  <c r="H28" i="14"/>
  <c r="I28" i="14"/>
  <c r="J28" i="14"/>
  <c r="K28" i="14"/>
  <c r="L28" i="14"/>
  <c r="M28" i="14"/>
  <c r="N28" i="14"/>
  <c r="O28" i="14"/>
  <c r="D28" i="14"/>
  <c r="P28" i="14" s="1"/>
  <c r="I21" i="19" s="1"/>
  <c r="E26" i="14"/>
  <c r="F26" i="14"/>
  <c r="G26" i="14"/>
  <c r="H26" i="14"/>
  <c r="I26" i="14"/>
  <c r="J26" i="14"/>
  <c r="K26" i="14"/>
  <c r="L26" i="14"/>
  <c r="M26" i="14"/>
  <c r="N26" i="14"/>
  <c r="O26" i="14"/>
  <c r="D26" i="14"/>
  <c r="P26" i="14" s="1"/>
  <c r="H21" i="19" s="1"/>
  <c r="E24" i="14"/>
  <c r="F24" i="14"/>
  <c r="G24" i="14"/>
  <c r="H24" i="14"/>
  <c r="I24" i="14"/>
  <c r="J24" i="14"/>
  <c r="K24" i="14"/>
  <c r="L24" i="14"/>
  <c r="M24" i="14"/>
  <c r="N24" i="14"/>
  <c r="O24" i="14"/>
  <c r="D24" i="14"/>
  <c r="P24" i="14" s="1"/>
  <c r="G21" i="19" s="1"/>
  <c r="E22" i="14"/>
  <c r="F22" i="14"/>
  <c r="G22" i="14"/>
  <c r="H22" i="14"/>
  <c r="I22" i="14"/>
  <c r="J22" i="14"/>
  <c r="K22" i="14"/>
  <c r="L22" i="14"/>
  <c r="M22" i="14"/>
  <c r="N22" i="14"/>
  <c r="O22" i="14"/>
  <c r="D22" i="14"/>
  <c r="P22" i="14" s="1"/>
  <c r="F21" i="19" s="1"/>
  <c r="E20" i="14"/>
  <c r="F20" i="14"/>
  <c r="G20" i="14"/>
  <c r="H20" i="14"/>
  <c r="I20" i="14"/>
  <c r="J20" i="14"/>
  <c r="K20" i="14"/>
  <c r="L20" i="14"/>
  <c r="M20" i="14"/>
  <c r="N20" i="14"/>
  <c r="O20" i="14"/>
  <c r="D20" i="14"/>
  <c r="P20" i="14" s="1"/>
  <c r="E21" i="19" s="1"/>
  <c r="E18" i="14"/>
  <c r="F18" i="14"/>
  <c r="G18" i="14"/>
  <c r="H18" i="14"/>
  <c r="I18" i="14"/>
  <c r="J18" i="14"/>
  <c r="K18" i="14"/>
  <c r="L18" i="14"/>
  <c r="M18" i="14"/>
  <c r="N18" i="14"/>
  <c r="O18" i="14"/>
  <c r="D18" i="14"/>
  <c r="P18" i="14" s="1"/>
  <c r="D21" i="19" s="1"/>
  <c r="E16" i="14"/>
  <c r="F16" i="14"/>
  <c r="G16" i="14"/>
  <c r="H16" i="14"/>
  <c r="I16" i="14"/>
  <c r="J16" i="14"/>
  <c r="K16" i="14"/>
  <c r="L16" i="14"/>
  <c r="M16" i="14"/>
  <c r="N16" i="14"/>
  <c r="O16" i="14"/>
  <c r="B128" i="30"/>
  <c r="B109" i="30"/>
  <c r="B90" i="30"/>
  <c r="B71" i="30"/>
  <c r="B52" i="30"/>
  <c r="B33" i="30"/>
  <c r="B14" i="30"/>
  <c r="I15" i="11"/>
  <c r="H15" i="11"/>
  <c r="G15" i="11"/>
  <c r="E15" i="11"/>
  <c r="D15" i="11"/>
  <c r="C15" i="11"/>
  <c r="I14" i="11"/>
  <c r="H14" i="11"/>
  <c r="G14" i="11"/>
  <c r="D14" i="11"/>
  <c r="P17" i="2"/>
  <c r="D13" i="8" s="1"/>
  <c r="P17" i="14"/>
  <c r="P22" i="2"/>
  <c r="E13" i="8" s="1"/>
  <c r="P19" i="14"/>
  <c r="E20" i="19" s="1"/>
  <c r="P27" i="2"/>
  <c r="F13" i="8" s="1"/>
  <c r="P21" i="14"/>
  <c r="F20" i="19" s="1"/>
  <c r="P32" i="2"/>
  <c r="G13" i="8" s="1"/>
  <c r="P23" i="14"/>
  <c r="G14" i="8" s="1"/>
  <c r="P37" i="2"/>
  <c r="P25" i="14"/>
  <c r="H20" i="19" s="1"/>
  <c r="P42" i="2"/>
  <c r="I10" i="19" s="1"/>
  <c r="D28" i="5"/>
  <c r="F85" i="15"/>
  <c r="F90" i="15" s="1"/>
  <c r="O85" i="15"/>
  <c r="O90" i="15" s="1"/>
  <c r="N142" i="15"/>
  <c r="H166" i="15"/>
  <c r="H171" i="15" s="1"/>
  <c r="E196" i="15"/>
  <c r="D7" i="8"/>
  <c r="E7" i="8"/>
  <c r="F7" i="8"/>
  <c r="G7" i="8"/>
  <c r="H7" i="8"/>
  <c r="I7" i="8"/>
  <c r="E28" i="19"/>
  <c r="B11" i="28"/>
  <c r="B110" i="27"/>
  <c r="B94" i="27"/>
  <c r="B78" i="27"/>
  <c r="B62" i="27"/>
  <c r="B46" i="27"/>
  <c r="B30" i="27"/>
  <c r="B15" i="27"/>
  <c r="B150" i="25"/>
  <c r="B127" i="25"/>
  <c r="B104" i="25"/>
  <c r="B81" i="25"/>
  <c r="B58" i="25"/>
  <c r="B35" i="25"/>
  <c r="B12" i="25"/>
  <c r="I12" i="8"/>
  <c r="I29" i="8" s="1"/>
  <c r="I18" i="8"/>
  <c r="C12" i="8"/>
  <c r="C29" i="8"/>
  <c r="C18" i="8"/>
  <c r="D12" i="8"/>
  <c r="D29" i="8" s="1"/>
  <c r="D18" i="8"/>
  <c r="E12" i="8"/>
  <c r="E29" i="8" s="1"/>
  <c r="E18" i="8"/>
  <c r="G12" i="8"/>
  <c r="G29" i="8" s="1"/>
  <c r="G18" i="8"/>
  <c r="H12" i="8"/>
  <c r="H29" i="8" s="1"/>
  <c r="H18" i="8"/>
  <c r="F12" i="8"/>
  <c r="F29" i="8" s="1"/>
  <c r="F18" i="8"/>
  <c r="P195" i="15"/>
  <c r="P192" i="15"/>
  <c r="P188" i="15"/>
  <c r="P185" i="15"/>
  <c r="P182" i="15"/>
  <c r="P179" i="15"/>
  <c r="P168" i="15"/>
  <c r="P165" i="15"/>
  <c r="P161" i="15"/>
  <c r="P158" i="15"/>
  <c r="P155" i="15"/>
  <c r="P152" i="15"/>
  <c r="P141" i="15"/>
  <c r="P138" i="15"/>
  <c r="P134" i="15"/>
  <c r="P131" i="15"/>
  <c r="P128" i="15"/>
  <c r="P125" i="15"/>
  <c r="P114" i="15"/>
  <c r="P111" i="15"/>
  <c r="P107" i="15"/>
  <c r="P104" i="15"/>
  <c r="P101" i="15"/>
  <c r="P98" i="15"/>
  <c r="P80" i="15"/>
  <c r="P77" i="15"/>
  <c r="P74" i="15"/>
  <c r="P71" i="15"/>
  <c r="P87" i="15"/>
  <c r="P84" i="15"/>
  <c r="P60" i="15"/>
  <c r="P57" i="15"/>
  <c r="B44" i="15"/>
  <c r="B17" i="15"/>
  <c r="P47" i="15"/>
  <c r="P30" i="15"/>
  <c r="P33" i="15"/>
  <c r="P20" i="15"/>
  <c r="D45" i="19"/>
  <c r="E45" i="19"/>
  <c r="F45" i="19"/>
  <c r="G45" i="19"/>
  <c r="H45" i="19"/>
  <c r="I45" i="19"/>
  <c r="C45" i="19"/>
  <c r="D35" i="19"/>
  <c r="E35" i="19"/>
  <c r="F35" i="19"/>
  <c r="G35" i="19"/>
  <c r="H35" i="19"/>
  <c r="I35" i="19"/>
  <c r="C35" i="19"/>
  <c r="D27" i="19"/>
  <c r="E27" i="19"/>
  <c r="F27" i="19"/>
  <c r="G27" i="19"/>
  <c r="H27" i="19"/>
  <c r="I27" i="19"/>
  <c r="C27" i="19"/>
  <c r="D19" i="19"/>
  <c r="E19" i="19"/>
  <c r="F19" i="19"/>
  <c r="G19" i="19"/>
  <c r="H19" i="19"/>
  <c r="I19" i="19"/>
  <c r="C19" i="19"/>
  <c r="D9" i="19"/>
  <c r="E9" i="19"/>
  <c r="F9" i="19"/>
  <c r="G9" i="19"/>
  <c r="H9" i="19"/>
  <c r="I9" i="19"/>
  <c r="C9" i="19"/>
  <c r="B179" i="15"/>
  <c r="B152" i="15"/>
  <c r="B125" i="15"/>
  <c r="B98" i="15"/>
  <c r="B71" i="15"/>
  <c r="B65" i="5"/>
  <c r="B57" i="5"/>
  <c r="B49" i="5"/>
  <c r="B41" i="5"/>
  <c r="B33" i="5"/>
  <c r="B25" i="5"/>
  <c r="B17" i="5"/>
  <c r="B23" i="3"/>
  <c r="B21" i="3"/>
  <c r="B19" i="3"/>
  <c r="B17" i="3"/>
  <c r="B15" i="3"/>
  <c r="B13" i="3"/>
  <c r="B11" i="3"/>
  <c r="B27" i="14"/>
  <c r="B25" i="14"/>
  <c r="B23" i="14"/>
  <c r="B21" i="14"/>
  <c r="B19" i="14"/>
  <c r="B17" i="14"/>
  <c r="B15" i="14"/>
  <c r="B42" i="2"/>
  <c r="B37" i="2"/>
  <c r="B32" i="2"/>
  <c r="B27" i="2"/>
  <c r="B22" i="2"/>
  <c r="B17" i="2"/>
  <c r="B12" i="2"/>
  <c r="B11" i="16"/>
  <c r="P53" i="15"/>
  <c r="E1048567" i="17"/>
  <c r="P44" i="15"/>
  <c r="P50" i="15"/>
  <c r="P23" i="15"/>
  <c r="P26" i="15"/>
  <c r="E142" i="15"/>
  <c r="G115" i="15"/>
  <c r="M196" i="15"/>
  <c r="K169" i="15"/>
  <c r="J139" i="15"/>
  <c r="J144" i="15" s="1"/>
  <c r="O115" i="15"/>
  <c r="N85" i="15"/>
  <c r="J169" i="15"/>
  <c r="I139" i="15"/>
  <c r="I144" i="15" s="1"/>
  <c r="H115" i="15"/>
  <c r="G85" i="15"/>
  <c r="G90" i="15" s="1"/>
  <c r="F196" i="15"/>
  <c r="O166" i="15"/>
  <c r="L112" i="15"/>
  <c r="L117" i="15" s="1"/>
  <c r="K112" i="15"/>
  <c r="K117" i="15" s="1"/>
  <c r="J193" i="15"/>
  <c r="J198" i="15" s="1"/>
  <c r="G166" i="15"/>
  <c r="M142" i="15"/>
  <c r="K88" i="15"/>
  <c r="K90" i="15" s="1"/>
  <c r="I193" i="15"/>
  <c r="I198" i="15" s="1"/>
  <c r="F142" i="15"/>
  <c r="J88" i="15"/>
  <c r="L196" i="15"/>
  <c r="H193" i="15"/>
  <c r="H198" i="15" s="1"/>
  <c r="I169" i="15"/>
  <c r="N166" i="15"/>
  <c r="N171" i="15" s="1"/>
  <c r="F166" i="15"/>
  <c r="F171" i="15" s="1"/>
  <c r="L142" i="15"/>
  <c r="H139" i="15"/>
  <c r="H144" i="15" s="1"/>
  <c r="N115" i="15"/>
  <c r="F115" i="15"/>
  <c r="J112" i="15"/>
  <c r="J117" i="15" s="1"/>
  <c r="I88" i="15"/>
  <c r="M85" i="15"/>
  <c r="M90" i="15" s="1"/>
  <c r="E85" i="15"/>
  <c r="E90" i="15" s="1"/>
  <c r="K196" i="15"/>
  <c r="O193" i="15"/>
  <c r="O198" i="15" s="1"/>
  <c r="G193" i="15"/>
  <c r="G198" i="15" s="1"/>
  <c r="H169" i="15"/>
  <c r="M166" i="15"/>
  <c r="M171" i="15" s="1"/>
  <c r="E166" i="15"/>
  <c r="E171" i="15" s="1"/>
  <c r="K142" i="15"/>
  <c r="O139" i="15"/>
  <c r="O144" i="15" s="1"/>
  <c r="G139" i="15"/>
  <c r="M115" i="15"/>
  <c r="E115" i="15"/>
  <c r="I112" i="15"/>
  <c r="I117" i="15" s="1"/>
  <c r="H88" i="15"/>
  <c r="L85" i="15"/>
  <c r="L90" i="15" s="1"/>
  <c r="J196" i="15"/>
  <c r="N193" i="15"/>
  <c r="N198" i="15" s="1"/>
  <c r="F193" i="15"/>
  <c r="F198" i="15" s="1"/>
  <c r="O169" i="15"/>
  <c r="L166" i="15"/>
  <c r="L171" i="15" s="1"/>
  <c r="J142" i="15"/>
  <c r="N139" i="15"/>
  <c r="N144" i="15" s="1"/>
  <c r="F139" i="15"/>
  <c r="F144" i="15" s="1"/>
  <c r="L115" i="15"/>
  <c r="H112" i="15"/>
  <c r="H117" i="15" s="1"/>
  <c r="O88" i="15"/>
  <c r="G88" i="15"/>
  <c r="K85" i="15"/>
  <c r="I196" i="15"/>
  <c r="M193" i="15"/>
  <c r="M198" i="15" s="1"/>
  <c r="E193" i="15"/>
  <c r="E198" i="15" s="1"/>
  <c r="N169" i="15"/>
  <c r="G169" i="15"/>
  <c r="G171" i="15" s="1"/>
  <c r="K166" i="15"/>
  <c r="K171" i="15" s="1"/>
  <c r="I142" i="15"/>
  <c r="M139" i="15"/>
  <c r="M144" i="15" s="1"/>
  <c r="E139" i="15"/>
  <c r="E144" i="15" s="1"/>
  <c r="K115" i="15"/>
  <c r="O112" i="15"/>
  <c r="G112" i="15"/>
  <c r="N88" i="15"/>
  <c r="F88" i="15"/>
  <c r="J85" i="15"/>
  <c r="J90" i="15" s="1"/>
  <c r="O196" i="15"/>
  <c r="H196" i="15"/>
  <c r="L193" i="15"/>
  <c r="L198" i="15" s="1"/>
  <c r="M169" i="15"/>
  <c r="F169" i="15"/>
  <c r="J166" i="15"/>
  <c r="J171" i="15" s="1"/>
  <c r="H142" i="15"/>
  <c r="L139" i="15"/>
  <c r="L144" i="15" s="1"/>
  <c r="J115" i="15"/>
  <c r="N112" i="15"/>
  <c r="N117" i="15" s="1"/>
  <c r="F112" i="15"/>
  <c r="F117" i="15" s="1"/>
  <c r="M88" i="15"/>
  <c r="E88" i="15"/>
  <c r="I85" i="15"/>
  <c r="I90" i="15" s="1"/>
  <c r="N196" i="15"/>
  <c r="G196" i="15"/>
  <c r="K193" i="15"/>
  <c r="L169" i="15"/>
  <c r="E169" i="15"/>
  <c r="I166" i="15"/>
  <c r="I171" i="15" s="1"/>
  <c r="O142" i="15"/>
  <c r="G142" i="15"/>
  <c r="K139" i="15"/>
  <c r="I115" i="15"/>
  <c r="M112" i="15"/>
  <c r="M117" i="15" s="1"/>
  <c r="E112" i="15"/>
  <c r="E117" i="15" s="1"/>
  <c r="L88" i="15"/>
  <c r="H85" i="15"/>
  <c r="H90" i="15" s="1"/>
  <c r="H10" i="19"/>
  <c r="F10" i="19"/>
  <c r="E10" i="19"/>
  <c r="H28" i="19"/>
  <c r="D28" i="19"/>
  <c r="P72" i="15"/>
  <c r="E46" i="19" s="1"/>
  <c r="P126" i="15"/>
  <c r="G46" i="19" s="1"/>
  <c r="P99" i="15"/>
  <c r="H49" i="19"/>
  <c r="P180" i="15"/>
  <c r="I46" i="19" s="1"/>
  <c r="O172" i="15"/>
  <c r="O173" i="15" s="1"/>
  <c r="E12" i="3"/>
  <c r="F12" i="3"/>
  <c r="G12" i="3"/>
  <c r="H12" i="3"/>
  <c r="I12" i="3"/>
  <c r="J12" i="3"/>
  <c r="K12" i="3"/>
  <c r="L12" i="3"/>
  <c r="C29" i="19" s="1"/>
  <c r="M12" i="3"/>
  <c r="N12" i="3"/>
  <c r="O12" i="3"/>
  <c r="G20" i="19"/>
  <c r="D317" i="17" l="1"/>
  <c r="J50" i="27" s="1"/>
  <c r="K50" i="27" s="1"/>
  <c r="K32" i="27"/>
  <c r="N118" i="15"/>
  <c r="N119" i="15" s="1"/>
  <c r="P186" i="15"/>
  <c r="G144" i="15"/>
  <c r="G83" i="15"/>
  <c r="I172" i="15"/>
  <c r="I173" i="15" s="1"/>
  <c r="P153" i="15"/>
  <c r="H191" i="15"/>
  <c r="O174" i="15"/>
  <c r="P112" i="15"/>
  <c r="I83" i="15"/>
  <c r="F110" i="15"/>
  <c r="K172" i="15"/>
  <c r="P193" i="15"/>
  <c r="N83" i="15"/>
  <c r="H110" i="15"/>
  <c r="M172" i="15"/>
  <c r="M173" i="15" s="1"/>
  <c r="M174" i="15"/>
  <c r="M56" i="15"/>
  <c r="J118" i="15"/>
  <c r="J119" i="15" s="1"/>
  <c r="D46" i="19"/>
  <c r="P54" i="15"/>
  <c r="D49" i="19" s="1"/>
  <c r="M83" i="15"/>
  <c r="L36" i="15"/>
  <c r="N90" i="15"/>
  <c r="L110" i="15"/>
  <c r="P78" i="15"/>
  <c r="G172" i="15"/>
  <c r="G173" i="15" s="1"/>
  <c r="D129" i="15"/>
  <c r="D142" i="15"/>
  <c r="P142" i="15" s="1"/>
  <c r="F29" i="15"/>
  <c r="F37" i="15" s="1"/>
  <c r="F38" i="15" s="1"/>
  <c r="I31" i="15"/>
  <c r="I36" i="15" s="1"/>
  <c r="F31" i="15"/>
  <c r="F36" i="15" s="1"/>
  <c r="K61" i="15"/>
  <c r="N58" i="15"/>
  <c r="N63" i="15" s="1"/>
  <c r="F58" i="15"/>
  <c r="F63" i="15" s="1"/>
  <c r="O75" i="15"/>
  <c r="O83" i="15" s="1"/>
  <c r="M75" i="15"/>
  <c r="K75" i="15"/>
  <c r="K83" i="15" s="1"/>
  <c r="I75" i="15"/>
  <c r="G75" i="15"/>
  <c r="E75" i="15"/>
  <c r="E83" i="15" s="1"/>
  <c r="N183" i="15"/>
  <c r="N191" i="15" s="1"/>
  <c r="L183" i="15"/>
  <c r="L191" i="15" s="1"/>
  <c r="J183" i="15"/>
  <c r="J191" i="15" s="1"/>
  <c r="H183" i="15"/>
  <c r="F183" i="15"/>
  <c r="P183" i="15" s="1"/>
  <c r="D171" i="15"/>
  <c r="P171" i="15" s="1"/>
  <c r="H51" i="19" s="1"/>
  <c r="P132" i="15"/>
  <c r="F46" i="19"/>
  <c r="H36" i="15"/>
  <c r="D31" i="15"/>
  <c r="D36" i="15" s="1"/>
  <c r="D34" i="15"/>
  <c r="O129" i="15"/>
  <c r="O137" i="15" s="1"/>
  <c r="M129" i="15"/>
  <c r="M137" i="15" s="1"/>
  <c r="K129" i="15"/>
  <c r="K137" i="15" s="1"/>
  <c r="I129" i="15"/>
  <c r="I137" i="15" s="1"/>
  <c r="G129" i="15"/>
  <c r="G137" i="15" s="1"/>
  <c r="E129" i="15"/>
  <c r="E137" i="15" s="1"/>
  <c r="O48" i="15"/>
  <c r="O56" i="15" s="1"/>
  <c r="M48" i="15"/>
  <c r="K48" i="15"/>
  <c r="K56" i="15" s="1"/>
  <c r="I48" i="15"/>
  <c r="I56" i="15" s="1"/>
  <c r="G48" i="15"/>
  <c r="G56" i="15" s="1"/>
  <c r="E48" i="15"/>
  <c r="D189" i="15"/>
  <c r="P189" i="15" s="1"/>
  <c r="I49" i="19" s="1"/>
  <c r="K34" i="15"/>
  <c r="E31" i="15"/>
  <c r="E36" i="15" s="1"/>
  <c r="H61" i="15"/>
  <c r="H63" i="15" s="1"/>
  <c r="K58" i="15"/>
  <c r="N156" i="15"/>
  <c r="N164" i="15" s="1"/>
  <c r="L156" i="15"/>
  <c r="L164" i="15" s="1"/>
  <c r="J156" i="15"/>
  <c r="J164" i="15" s="1"/>
  <c r="H156" i="15"/>
  <c r="H164" i="15" s="1"/>
  <c r="F156" i="15"/>
  <c r="F164" i="15" s="1"/>
  <c r="E56" i="15"/>
  <c r="E164" i="15"/>
  <c r="D48" i="15"/>
  <c r="D85" i="15"/>
  <c r="D102" i="15"/>
  <c r="D115" i="15"/>
  <c r="P115" i="15" s="1"/>
  <c r="D135" i="15"/>
  <c r="P135" i="15" s="1"/>
  <c r="G49" i="19" s="1"/>
  <c r="D156" i="15"/>
  <c r="D169" i="15"/>
  <c r="P169" i="15" s="1"/>
  <c r="M29" i="15"/>
  <c r="I29" i="15"/>
  <c r="K36" i="15"/>
  <c r="O61" i="15"/>
  <c r="O63" i="15" s="1"/>
  <c r="G61" i="15"/>
  <c r="G63" i="15" s="1"/>
  <c r="J58" i="15"/>
  <c r="J63" i="15" s="1"/>
  <c r="D21" i="15"/>
  <c r="D29" i="15" s="1"/>
  <c r="D37" i="15" s="1"/>
  <c r="N75" i="15"/>
  <c r="L75" i="15"/>
  <c r="L83" i="15" s="1"/>
  <c r="J75" i="15"/>
  <c r="J83" i="15" s="1"/>
  <c r="H75" i="15"/>
  <c r="H83" i="15" s="1"/>
  <c r="F75" i="15"/>
  <c r="F83" i="15" s="1"/>
  <c r="O183" i="15"/>
  <c r="O191" i="15" s="1"/>
  <c r="M183" i="15"/>
  <c r="M191" i="15" s="1"/>
  <c r="K183" i="15"/>
  <c r="K191" i="15" s="1"/>
  <c r="I183" i="15"/>
  <c r="I191" i="15" s="1"/>
  <c r="G183" i="15"/>
  <c r="G191" i="15" s="1"/>
  <c r="E183" i="15"/>
  <c r="E191" i="15" s="1"/>
  <c r="D83" i="15"/>
  <c r="D88" i="15"/>
  <c r="P88" i="15" s="1"/>
  <c r="G31" i="15"/>
  <c r="N61" i="15"/>
  <c r="F61" i="15"/>
  <c r="I58" i="15"/>
  <c r="I63" i="15" s="1"/>
  <c r="O102" i="15"/>
  <c r="O110" i="15" s="1"/>
  <c r="M102" i="15"/>
  <c r="M110" i="15" s="1"/>
  <c r="K102" i="15"/>
  <c r="K110" i="15" s="1"/>
  <c r="I102" i="15"/>
  <c r="I110" i="15" s="1"/>
  <c r="G102" i="15"/>
  <c r="G110" i="15" s="1"/>
  <c r="E102" i="15"/>
  <c r="E110" i="15" s="1"/>
  <c r="D75" i="15"/>
  <c r="D58" i="15"/>
  <c r="D139" i="15"/>
  <c r="N129" i="15"/>
  <c r="N137" i="15" s="1"/>
  <c r="L129" i="15"/>
  <c r="L137" i="15" s="1"/>
  <c r="J129" i="15"/>
  <c r="J137" i="15" s="1"/>
  <c r="H129" i="15"/>
  <c r="H137" i="15" s="1"/>
  <c r="F129" i="15"/>
  <c r="F137" i="15" s="1"/>
  <c r="N48" i="15"/>
  <c r="N56" i="15" s="1"/>
  <c r="L48" i="15"/>
  <c r="L56" i="15" s="1"/>
  <c r="J48" i="15"/>
  <c r="J56" i="15" s="1"/>
  <c r="H48" i="15"/>
  <c r="H56" i="15" s="1"/>
  <c r="F48" i="15"/>
  <c r="F56" i="15" s="1"/>
  <c r="D61" i="15"/>
  <c r="D196" i="15"/>
  <c r="P196" i="15" s="1"/>
  <c r="G28" i="19"/>
  <c r="I13" i="8"/>
  <c r="D44" i="5"/>
  <c r="D52" i="5"/>
  <c r="G24" i="8" s="1"/>
  <c r="D68" i="5"/>
  <c r="I24" i="8" s="1"/>
  <c r="H24" i="8"/>
  <c r="E84" i="16"/>
  <c r="H15" i="8" s="1"/>
  <c r="H16" i="8" s="1"/>
  <c r="H31" i="8" s="1"/>
  <c r="E29" i="25"/>
  <c r="C20" i="8" s="1"/>
  <c r="D35" i="5"/>
  <c r="E37" i="19" s="1"/>
  <c r="E24" i="8"/>
  <c r="P27" i="15"/>
  <c r="C49" i="19" s="1"/>
  <c r="K29" i="15"/>
  <c r="K37" i="15" s="1"/>
  <c r="K38" i="15" s="1"/>
  <c r="P24" i="15"/>
  <c r="N29" i="15"/>
  <c r="N37" i="15" s="1"/>
  <c r="N38" i="15" s="1"/>
  <c r="G29" i="15"/>
  <c r="I14" i="8"/>
  <c r="G10" i="19"/>
  <c r="P24" i="3"/>
  <c r="I29" i="19" s="1"/>
  <c r="D14" i="8"/>
  <c r="P18" i="3"/>
  <c r="F29" i="19" s="1"/>
  <c r="P46" i="2"/>
  <c r="I13" i="19" s="1"/>
  <c r="P26" i="2"/>
  <c r="E13" i="19" s="1"/>
  <c r="H29" i="15"/>
  <c r="H37" i="15" s="1"/>
  <c r="H38" i="15" s="1"/>
  <c r="O29" i="15"/>
  <c r="L29" i="15"/>
  <c r="L37" i="15" s="1"/>
  <c r="L38" i="15" s="1"/>
  <c r="O37" i="15"/>
  <c r="O38" i="15" s="1"/>
  <c r="E29" i="15"/>
  <c r="J29" i="15"/>
  <c r="J37" i="15" s="1"/>
  <c r="J38" i="15" s="1"/>
  <c r="M37" i="15"/>
  <c r="M38" i="15" s="1"/>
  <c r="I37" i="15"/>
  <c r="I38" i="15" s="1"/>
  <c r="P18" i="15"/>
  <c r="I28" i="19"/>
  <c r="C28" i="19"/>
  <c r="D10" i="19"/>
  <c r="C10" i="19"/>
  <c r="F14" i="8"/>
  <c r="E14" i="8"/>
  <c r="D20" i="19"/>
  <c r="C14" i="8"/>
  <c r="K68" i="27"/>
  <c r="D316" i="17"/>
  <c r="J34" i="27" s="1"/>
  <c r="K34" i="27" s="1"/>
  <c r="E58" i="16"/>
  <c r="F15" i="8" s="1"/>
  <c r="K117" i="27"/>
  <c r="D24" i="8"/>
  <c r="E57" i="16"/>
  <c r="F8" i="8" s="1"/>
  <c r="E96" i="16"/>
  <c r="I8" i="8" s="1"/>
  <c r="E174" i="28"/>
  <c r="E188" i="28" s="1"/>
  <c r="I21" i="8" s="1"/>
  <c r="E148" i="28"/>
  <c r="E162" i="28" s="1"/>
  <c r="H21" i="8" s="1"/>
  <c r="E122" i="28"/>
  <c r="E136" i="28" s="1"/>
  <c r="G21" i="8" s="1"/>
  <c r="D321" i="17"/>
  <c r="J114" i="27" s="1"/>
  <c r="K114" i="27" s="1"/>
  <c r="K52" i="27"/>
  <c r="K85" i="27"/>
  <c r="E70" i="28"/>
  <c r="E84" i="28" s="1"/>
  <c r="E21" i="8" s="1"/>
  <c r="E88" i="25"/>
  <c r="E98" i="25" s="1"/>
  <c r="F20" i="8" s="1"/>
  <c r="K84" i="27"/>
  <c r="K101" i="27"/>
  <c r="H66" i="27"/>
  <c r="K66" i="27" s="1"/>
  <c r="E32" i="16"/>
  <c r="D15" i="8" s="1"/>
  <c r="P19" i="2"/>
  <c r="D19" i="8" s="1"/>
  <c r="H19" i="27"/>
  <c r="K19" i="27" s="1"/>
  <c r="E71" i="16"/>
  <c r="G15" i="8" s="1"/>
  <c r="G16" i="8" s="1"/>
  <c r="G31" i="8" s="1"/>
  <c r="D320" i="17"/>
  <c r="J98" i="27" s="1"/>
  <c r="K98" i="27" s="1"/>
  <c r="K80" i="27"/>
  <c r="E18" i="28"/>
  <c r="E32" i="28" s="1"/>
  <c r="C21" i="8" s="1"/>
  <c r="K64" i="27"/>
  <c r="K100" i="27"/>
  <c r="K69" i="27"/>
  <c r="E97" i="16"/>
  <c r="I15" i="8" s="1"/>
  <c r="E70" i="16"/>
  <c r="G8" i="8" s="1"/>
  <c r="E44" i="16"/>
  <c r="E8" i="8" s="1"/>
  <c r="E45" i="16"/>
  <c r="E15" i="8" s="1"/>
  <c r="K33" i="27"/>
  <c r="E83" i="16"/>
  <c r="H8" i="8" s="1"/>
  <c r="K63" i="27"/>
  <c r="K96" i="27"/>
  <c r="K22" i="27"/>
  <c r="E121" i="25"/>
  <c r="G20" i="8" s="1"/>
  <c r="K79" i="27"/>
  <c r="K86" i="27" s="1"/>
  <c r="K53" i="27"/>
  <c r="K21" i="27"/>
  <c r="K49" i="27"/>
  <c r="K95" i="27"/>
  <c r="P14" i="2"/>
  <c r="C19" i="8" s="1"/>
  <c r="P39" i="2"/>
  <c r="H19" i="8" s="1"/>
  <c r="D319" i="17"/>
  <c r="J82" i="27" s="1"/>
  <c r="K82" i="27" s="1"/>
  <c r="K81" i="27"/>
  <c r="K113" i="27"/>
  <c r="E19" i="16"/>
  <c r="C15" i="8" s="1"/>
  <c r="E18" i="16"/>
  <c r="C8" i="8" s="1"/>
  <c r="K47" i="27"/>
  <c r="K54" i="27" s="1"/>
  <c r="P29" i="2"/>
  <c r="F19" i="8" s="1"/>
  <c r="D27" i="5"/>
  <c r="D37" i="19" s="1"/>
  <c r="D67" i="5"/>
  <c r="I37" i="19" s="1"/>
  <c r="D59" i="5"/>
  <c r="H37" i="19" s="1"/>
  <c r="D43" i="5"/>
  <c r="F37" i="19" s="1"/>
  <c r="C24" i="8"/>
  <c r="E110" i="28"/>
  <c r="F21" i="8" s="1"/>
  <c r="E44" i="28"/>
  <c r="E58" i="28" s="1"/>
  <c r="D21" i="8" s="1"/>
  <c r="K65" i="27"/>
  <c r="K97" i="27"/>
  <c r="K16" i="27"/>
  <c r="K17" i="27"/>
  <c r="K111" i="27"/>
  <c r="F26" i="30"/>
  <c r="C9" i="8" s="1"/>
  <c r="F121" i="30"/>
  <c r="H9" i="8" s="1"/>
  <c r="K18" i="27"/>
  <c r="E144" i="25"/>
  <c r="H20" i="8" s="1"/>
  <c r="K112" i="27"/>
  <c r="P44" i="2"/>
  <c r="P24" i="2"/>
  <c r="E167" i="25"/>
  <c r="I20" i="8" s="1"/>
  <c r="K48" i="27"/>
  <c r="F15" i="2"/>
  <c r="F16" i="2" s="1"/>
  <c r="E75" i="25"/>
  <c r="E20" i="8" s="1"/>
  <c r="P34" i="2"/>
  <c r="F102" i="30"/>
  <c r="G9" i="8" s="1"/>
  <c r="P45" i="2"/>
  <c r="I12" i="19" s="1"/>
  <c r="H46" i="2"/>
  <c r="F64" i="30"/>
  <c r="E9" i="8" s="1"/>
  <c r="F83" i="30"/>
  <c r="F9" i="8" s="1"/>
  <c r="P20" i="2"/>
  <c r="D12" i="19" s="1"/>
  <c r="D21" i="2"/>
  <c r="P21" i="2" s="1"/>
  <c r="D13" i="19" s="1"/>
  <c r="F36" i="2"/>
  <c r="P36" i="2" s="1"/>
  <c r="G13" i="19" s="1"/>
  <c r="P35" i="2"/>
  <c r="G12" i="19" s="1"/>
  <c r="F45" i="30"/>
  <c r="D9" i="8" s="1"/>
  <c r="P31" i="2"/>
  <c r="F13" i="19" s="1"/>
  <c r="P30" i="2"/>
  <c r="F12" i="19" s="1"/>
  <c r="D41" i="2"/>
  <c r="P41" i="2" s="1"/>
  <c r="H13" i="19" s="1"/>
  <c r="P40" i="2"/>
  <c r="H12" i="19" s="1"/>
  <c r="D16" i="2"/>
  <c r="F140" i="30"/>
  <c r="I9" i="8" s="1"/>
  <c r="P25" i="2"/>
  <c r="E12" i="19" s="1"/>
  <c r="K36" i="27"/>
  <c r="K31" i="27"/>
  <c r="K38" i="27" s="1"/>
  <c r="K37" i="27"/>
  <c r="D51" i="5"/>
  <c r="G37" i="19" s="1"/>
  <c r="D36" i="19"/>
  <c r="E52" i="25"/>
  <c r="D20" i="8" s="1"/>
  <c r="E31" i="16"/>
  <c r="D8" i="8" s="1"/>
  <c r="F24" i="8" l="1"/>
  <c r="F36" i="19"/>
  <c r="K70" i="27"/>
  <c r="F22" i="8" s="1"/>
  <c r="K23" i="27"/>
  <c r="K102" i="27"/>
  <c r="K118" i="27"/>
  <c r="H147" i="15"/>
  <c r="H145" i="15"/>
  <c r="H146" i="15" s="1"/>
  <c r="J172" i="15"/>
  <c r="J173" i="15" s="1"/>
  <c r="J174" i="15"/>
  <c r="L172" i="15"/>
  <c r="L173" i="15" s="1"/>
  <c r="F64" i="15"/>
  <c r="F65" i="15" s="1"/>
  <c r="F66" i="15"/>
  <c r="L145" i="15"/>
  <c r="L146" i="15" s="1"/>
  <c r="K118" i="15"/>
  <c r="K119" i="15" s="1"/>
  <c r="H91" i="15"/>
  <c r="H92" i="15" s="1"/>
  <c r="N172" i="15"/>
  <c r="N173" i="15" s="1"/>
  <c r="N174" i="15"/>
  <c r="I47" i="19"/>
  <c r="I25" i="8"/>
  <c r="K91" i="15"/>
  <c r="K92" i="15" s="1"/>
  <c r="K93" i="15"/>
  <c r="H64" i="15"/>
  <c r="H65" i="15" s="1"/>
  <c r="N145" i="15"/>
  <c r="N146" i="15" s="1"/>
  <c r="M120" i="15"/>
  <c r="M118" i="15"/>
  <c r="M119" i="15" s="1"/>
  <c r="J91" i="15"/>
  <c r="J92" i="15" s="1"/>
  <c r="O145" i="15"/>
  <c r="O146" i="15" s="1"/>
  <c r="O147" i="15"/>
  <c r="O199" i="15"/>
  <c r="O200" i="15" s="1"/>
  <c r="J145" i="15"/>
  <c r="J146" i="15" s="1"/>
  <c r="J64" i="15"/>
  <c r="J65" i="15" s="1"/>
  <c r="J66" i="15"/>
  <c r="G199" i="15"/>
  <c r="G200" i="15" s="1"/>
  <c r="G201" i="15"/>
  <c r="L93" i="15"/>
  <c r="L91" i="15"/>
  <c r="L92" i="15" s="1"/>
  <c r="J199" i="15"/>
  <c r="J200" i="15" s="1"/>
  <c r="O91" i="15"/>
  <c r="O92" i="15" s="1"/>
  <c r="O93" i="15"/>
  <c r="F145" i="15"/>
  <c r="F146" i="15" s="1"/>
  <c r="F147" i="15"/>
  <c r="H174" i="15"/>
  <c r="H172" i="15"/>
  <c r="H173" i="15" s="1"/>
  <c r="I147" i="15"/>
  <c r="I145" i="15"/>
  <c r="I146" i="15" s="1"/>
  <c r="F91" i="15"/>
  <c r="F92" i="15" s="1"/>
  <c r="L64" i="15"/>
  <c r="L65" i="15" s="1"/>
  <c r="I201" i="15"/>
  <c r="I199" i="15"/>
  <c r="I200" i="15" s="1"/>
  <c r="L199" i="15"/>
  <c r="L200" i="15" s="1"/>
  <c r="N64" i="15"/>
  <c r="N65" i="15" s="1"/>
  <c r="N66" i="15"/>
  <c r="F172" i="15"/>
  <c r="F173" i="15" s="1"/>
  <c r="F174" i="15"/>
  <c r="N201" i="15"/>
  <c r="N199" i="15"/>
  <c r="N200" i="15" s="1"/>
  <c r="E118" i="15"/>
  <c r="E119" i="15" s="1"/>
  <c r="G145" i="15"/>
  <c r="G146" i="15" s="1"/>
  <c r="G147" i="15"/>
  <c r="E91" i="15"/>
  <c r="E92" i="15" s="1"/>
  <c r="E93" i="15"/>
  <c r="P21" i="15"/>
  <c r="C47" i="19" s="1"/>
  <c r="P139" i="15"/>
  <c r="D144" i="15"/>
  <c r="P144" i="15" s="1"/>
  <c r="G51" i="19" s="1"/>
  <c r="P83" i="15"/>
  <c r="G91" i="15"/>
  <c r="G92" i="15" s="1"/>
  <c r="G93" i="15"/>
  <c r="F39" i="15"/>
  <c r="K145" i="15"/>
  <c r="K146" i="15" s="1"/>
  <c r="P75" i="15"/>
  <c r="E172" i="15"/>
  <c r="E173" i="15" s="1"/>
  <c r="E174" i="15"/>
  <c r="G64" i="15"/>
  <c r="G65" i="15" s="1"/>
  <c r="G66" i="15"/>
  <c r="H199" i="15"/>
  <c r="H200" i="15" s="1"/>
  <c r="K63" i="15"/>
  <c r="K64" i="15" s="1"/>
  <c r="I64" i="15"/>
  <c r="I65" i="15" s="1"/>
  <c r="I66" i="15"/>
  <c r="M145" i="15"/>
  <c r="M146" i="15" s="1"/>
  <c r="M147" i="15"/>
  <c r="D117" i="15"/>
  <c r="P117" i="15" s="1"/>
  <c r="F51" i="19" s="1"/>
  <c r="F191" i="15"/>
  <c r="D198" i="15"/>
  <c r="P198" i="15" s="1"/>
  <c r="I51" i="19" s="1"/>
  <c r="G174" i="15"/>
  <c r="H46" i="19"/>
  <c r="K199" i="15"/>
  <c r="K200" i="15" s="1"/>
  <c r="K201" i="15"/>
  <c r="P156" i="15"/>
  <c r="H47" i="19" s="1"/>
  <c r="D164" i="15"/>
  <c r="M91" i="15"/>
  <c r="M92" i="15" s="1"/>
  <c r="M93" i="15"/>
  <c r="K173" i="15"/>
  <c r="K174" i="15"/>
  <c r="P61" i="15"/>
  <c r="I118" i="15"/>
  <c r="I119" i="15" s="1"/>
  <c r="I120" i="15"/>
  <c r="M199" i="15"/>
  <c r="M200" i="15" s="1"/>
  <c r="P34" i="15"/>
  <c r="L120" i="15"/>
  <c r="L118" i="15"/>
  <c r="L119" i="15" s="1"/>
  <c r="J120" i="15"/>
  <c r="I174" i="15"/>
  <c r="G120" i="15"/>
  <c r="G118" i="15"/>
  <c r="G119" i="15" s="1"/>
  <c r="P31" i="15"/>
  <c r="G36" i="15"/>
  <c r="P36" i="15" s="1"/>
  <c r="C51" i="19" s="1"/>
  <c r="E66" i="15"/>
  <c r="E64" i="15"/>
  <c r="E65" i="15" s="1"/>
  <c r="O64" i="15"/>
  <c r="O65" i="15" s="1"/>
  <c r="P129" i="15"/>
  <c r="D191" i="15"/>
  <c r="F118" i="15"/>
  <c r="F119" i="15" s="1"/>
  <c r="F120" i="15"/>
  <c r="P102" i="15"/>
  <c r="D110" i="15"/>
  <c r="H118" i="15"/>
  <c r="H119" i="15" s="1"/>
  <c r="H120" i="15"/>
  <c r="I91" i="15"/>
  <c r="I92" i="15" s="1"/>
  <c r="E145" i="15"/>
  <c r="E146" i="15" s="1"/>
  <c r="O118" i="15"/>
  <c r="O119" i="15" s="1"/>
  <c r="D90" i="15"/>
  <c r="P90" i="15" s="1"/>
  <c r="E51" i="19" s="1"/>
  <c r="P85" i="15"/>
  <c r="M66" i="15"/>
  <c r="M64" i="15"/>
  <c r="M65" i="15" s="1"/>
  <c r="D63" i="15"/>
  <c r="P58" i="15"/>
  <c r="E199" i="15"/>
  <c r="E200" i="15" s="1"/>
  <c r="P48" i="15"/>
  <c r="D56" i="15"/>
  <c r="N91" i="15"/>
  <c r="N92" i="15" s="1"/>
  <c r="D137" i="15"/>
  <c r="N120" i="15"/>
  <c r="D16" i="8"/>
  <c r="D31" i="8" s="1"/>
  <c r="I16" i="8"/>
  <c r="I31" i="8" s="1"/>
  <c r="G36" i="19"/>
  <c r="H36" i="19"/>
  <c r="E36" i="19"/>
  <c r="D10" i="8"/>
  <c r="D30" i="8" s="1"/>
  <c r="F16" i="8"/>
  <c r="F31" i="8" s="1"/>
  <c r="N39" i="15"/>
  <c r="K39" i="15"/>
  <c r="P29" i="15"/>
  <c r="C50" i="19" s="1"/>
  <c r="E37" i="15"/>
  <c r="E38" i="15" s="1"/>
  <c r="L39" i="15"/>
  <c r="O39" i="15"/>
  <c r="I39" i="15"/>
  <c r="H39" i="15"/>
  <c r="C46" i="19"/>
  <c r="C25" i="8"/>
  <c r="J39" i="15"/>
  <c r="M39" i="15"/>
  <c r="E16" i="8"/>
  <c r="E31" i="8" s="1"/>
  <c r="C16" i="8"/>
  <c r="C31" i="8" s="1"/>
  <c r="P16" i="2"/>
  <c r="C13" i="19" s="1"/>
  <c r="F10" i="8"/>
  <c r="F30" i="8" s="1"/>
  <c r="I10" i="8"/>
  <c r="I30" i="8" s="1"/>
  <c r="G10" i="8"/>
  <c r="G30" i="8" s="1"/>
  <c r="D11" i="19"/>
  <c r="E10" i="8"/>
  <c r="E30" i="8" s="1"/>
  <c r="H10" i="8"/>
  <c r="H30" i="8" s="1"/>
  <c r="C11" i="19"/>
  <c r="H11" i="19"/>
  <c r="C10" i="8"/>
  <c r="C30" i="8" s="1"/>
  <c r="F11" i="19"/>
  <c r="P15" i="2"/>
  <c r="C12" i="19" s="1"/>
  <c r="I36" i="19"/>
  <c r="C36" i="19"/>
  <c r="G11" i="19"/>
  <c r="G19" i="8"/>
  <c r="E11" i="19"/>
  <c r="E19" i="8"/>
  <c r="I19" i="8"/>
  <c r="I11" i="19"/>
  <c r="K65" i="15" l="1"/>
  <c r="K66" i="15"/>
  <c r="D64" i="15"/>
  <c r="D66" i="15"/>
  <c r="P56" i="15"/>
  <c r="D47" i="19"/>
  <c r="D25" i="8"/>
  <c r="D26" i="8" s="1"/>
  <c r="D32" i="8" s="1"/>
  <c r="D33" i="8" s="1"/>
  <c r="O66" i="15"/>
  <c r="C53" i="19"/>
  <c r="L66" i="15"/>
  <c r="N147" i="15"/>
  <c r="E201" i="15"/>
  <c r="O120" i="15"/>
  <c r="D118" i="15"/>
  <c r="P110" i="15"/>
  <c r="H25" i="8"/>
  <c r="H26" i="8" s="1"/>
  <c r="H32" i="8" s="1"/>
  <c r="H33" i="8" s="1"/>
  <c r="AF34" i="8" s="1"/>
  <c r="D91" i="15"/>
  <c r="F93" i="15"/>
  <c r="H66" i="15"/>
  <c r="F47" i="19"/>
  <c r="F25" i="8"/>
  <c r="F26" i="8" s="1"/>
  <c r="F32" i="8" s="1"/>
  <c r="F33" i="8" s="1"/>
  <c r="AD30" i="8" s="1"/>
  <c r="E47" i="19"/>
  <c r="E25" i="8"/>
  <c r="E26" i="8" s="1"/>
  <c r="E32" i="8" s="1"/>
  <c r="E33" i="8" s="1"/>
  <c r="E52" i="19"/>
  <c r="E53" i="19" s="1"/>
  <c r="E120" i="15"/>
  <c r="L201" i="15"/>
  <c r="J201" i="15"/>
  <c r="J147" i="15"/>
  <c r="J93" i="15"/>
  <c r="G37" i="15"/>
  <c r="P37" i="15" s="1"/>
  <c r="P39" i="15" s="1"/>
  <c r="C55" i="19" s="1"/>
  <c r="H93" i="15"/>
  <c r="L174" i="15"/>
  <c r="G47" i="19"/>
  <c r="G25" i="8"/>
  <c r="G26" i="8" s="1"/>
  <c r="G32" i="8" s="1"/>
  <c r="G33" i="8" s="1"/>
  <c r="AE26" i="8" s="1"/>
  <c r="D145" i="15"/>
  <c r="D147" i="15" s="1"/>
  <c r="P137" i="15"/>
  <c r="P63" i="15"/>
  <c r="D51" i="19" s="1"/>
  <c r="E147" i="15"/>
  <c r="M201" i="15"/>
  <c r="H201" i="15"/>
  <c r="K147" i="15"/>
  <c r="O201" i="15"/>
  <c r="K120" i="15"/>
  <c r="N93" i="15"/>
  <c r="I93" i="15"/>
  <c r="P191" i="15"/>
  <c r="D199" i="15"/>
  <c r="D201" i="15"/>
  <c r="P164" i="15"/>
  <c r="D172" i="15"/>
  <c r="D174" i="15" s="1"/>
  <c r="F201" i="15"/>
  <c r="F199" i="15"/>
  <c r="F200" i="15" s="1"/>
  <c r="L147" i="15"/>
  <c r="P38" i="15"/>
  <c r="C54" i="19" s="1"/>
  <c r="E39" i="15"/>
  <c r="I26" i="8"/>
  <c r="I32" i="8" s="1"/>
  <c r="I33" i="8" s="1"/>
  <c r="AG33" i="8" s="1"/>
  <c r="C26" i="8"/>
  <c r="C32" i="8" s="1"/>
  <c r="C33" i="8" s="1"/>
  <c r="AB24" i="8" l="1"/>
  <c r="AB33" i="8"/>
  <c r="AB27" i="8"/>
  <c r="D35" i="8"/>
  <c r="AB26" i="8"/>
  <c r="AB23" i="8"/>
  <c r="AB34" i="8"/>
  <c r="AB32" i="8"/>
  <c r="AB31" i="8"/>
  <c r="AB28" i="8"/>
  <c r="AB30" i="8"/>
  <c r="AB37" i="8" s="1"/>
  <c r="AB35" i="8"/>
  <c r="F52" i="19"/>
  <c r="F53" i="19" s="1"/>
  <c r="P120" i="15"/>
  <c r="F55" i="19" s="1"/>
  <c r="AB36" i="8"/>
  <c r="P118" i="15"/>
  <c r="D119" i="15"/>
  <c r="P119" i="15" s="1"/>
  <c r="F54" i="19" s="1"/>
  <c r="H52" i="19"/>
  <c r="H53" i="19" s="1"/>
  <c r="D52" i="19"/>
  <c r="D53" i="19" s="1"/>
  <c r="P66" i="15"/>
  <c r="D55" i="19" s="1"/>
  <c r="I52" i="19"/>
  <c r="I53" i="19" s="1"/>
  <c r="P201" i="15"/>
  <c r="I55" i="19" s="1"/>
  <c r="P145" i="15"/>
  <c r="D146" i="15"/>
  <c r="P146" i="15" s="1"/>
  <c r="G54" i="19" s="1"/>
  <c r="P199" i="15"/>
  <c r="D200" i="15"/>
  <c r="P200" i="15" s="1"/>
  <c r="I54" i="19" s="1"/>
  <c r="D92" i="15"/>
  <c r="P92" i="15" s="1"/>
  <c r="E54" i="19" s="1"/>
  <c r="P91" i="15"/>
  <c r="P93" i="15" s="1"/>
  <c r="E55" i="19" s="1"/>
  <c r="D93" i="15"/>
  <c r="P64" i="15"/>
  <c r="D65" i="15"/>
  <c r="P65" i="15" s="1"/>
  <c r="D54" i="19" s="1"/>
  <c r="G38" i="15"/>
  <c r="G39" i="15"/>
  <c r="D173" i="15"/>
  <c r="P173" i="15" s="1"/>
  <c r="H54" i="19" s="1"/>
  <c r="P172" i="15"/>
  <c r="P174" i="15" s="1"/>
  <c r="H55" i="19" s="1"/>
  <c r="G52" i="19"/>
  <c r="G53" i="19" s="1"/>
  <c r="P147" i="15"/>
  <c r="G55" i="19" s="1"/>
  <c r="D120" i="15"/>
  <c r="AD32" i="8"/>
  <c r="AD24" i="8"/>
  <c r="F35" i="8"/>
  <c r="AD26" i="8"/>
  <c r="AD34" i="8"/>
  <c r="AD23" i="8"/>
  <c r="AD33" i="8"/>
  <c r="AD35" i="8"/>
  <c r="AD27" i="8"/>
  <c r="AD31" i="8"/>
  <c r="AD36" i="8"/>
  <c r="AD28" i="8"/>
  <c r="AG35" i="8"/>
  <c r="AF28" i="8"/>
  <c r="AF31" i="8"/>
  <c r="AA33" i="8"/>
  <c r="AH33" i="8" s="1"/>
  <c r="AA24" i="8"/>
  <c r="AH24" i="8" s="1"/>
  <c r="AF26" i="8"/>
  <c r="AF35" i="8"/>
  <c r="AF23" i="8"/>
  <c r="H35" i="8"/>
  <c r="AE36" i="8"/>
  <c r="AF30" i="8"/>
  <c r="AF37" i="8" s="1"/>
  <c r="AF36" i="8"/>
  <c r="AF27" i="8"/>
  <c r="AE24" i="8"/>
  <c r="AE30" i="8"/>
  <c r="AE37" i="8" s="1"/>
  <c r="AE27" i="8"/>
  <c r="AE31" i="8"/>
  <c r="AE23" i="8"/>
  <c r="AE33" i="8"/>
  <c r="AE34" i="8"/>
  <c r="AF33" i="8"/>
  <c r="AF32" i="8"/>
  <c r="AE28" i="8"/>
  <c r="G35" i="8"/>
  <c r="AE32" i="8"/>
  <c r="AE35" i="8"/>
  <c r="AF24" i="8"/>
  <c r="I35" i="8"/>
  <c r="AG23" i="8"/>
  <c r="AG27" i="8"/>
  <c r="AG24" i="8"/>
  <c r="AG31" i="8"/>
  <c r="AG36" i="8"/>
  <c r="AG30" i="8"/>
  <c r="AG37" i="8" s="1"/>
  <c r="AG34" i="8"/>
  <c r="AG26" i="8"/>
  <c r="AG28" i="8"/>
  <c r="AG32" i="8"/>
  <c r="AA27" i="8"/>
  <c r="AH27" i="8" s="1"/>
  <c r="C35" i="8"/>
  <c r="AA23" i="8"/>
  <c r="AA30" i="8"/>
  <c r="AA28" i="8"/>
  <c r="AH28" i="8" s="1"/>
  <c r="AA35" i="8"/>
  <c r="AH35" i="8" s="1"/>
  <c r="AA26" i="8"/>
  <c r="AH26" i="8" s="1"/>
  <c r="AA36" i="8"/>
  <c r="AH36" i="8" s="1"/>
  <c r="AA34" i="8"/>
  <c r="AH34" i="8" s="1"/>
  <c r="AA32" i="8"/>
  <c r="AH32" i="8" s="1"/>
  <c r="AA31" i="8"/>
  <c r="AH31" i="8" s="1"/>
  <c r="AD37" i="8"/>
  <c r="AC34" i="8"/>
  <c r="E35" i="8"/>
  <c r="AC28" i="8"/>
  <c r="AC31" i="8"/>
  <c r="AC23" i="8"/>
  <c r="AC32" i="8"/>
  <c r="AC33" i="8"/>
  <c r="AC24" i="8"/>
  <c r="AC27" i="8"/>
  <c r="AC36" i="8"/>
  <c r="AC26" i="8"/>
  <c r="AC35" i="8"/>
  <c r="AC30" i="8"/>
  <c r="AB29" i="8" l="1"/>
  <c r="AB25" i="8"/>
  <c r="AD25" i="8"/>
  <c r="AD29" i="8"/>
  <c r="AH23" i="8"/>
  <c r="AA25" i="8"/>
  <c r="AH25" i="8" s="1"/>
  <c r="AF29" i="8"/>
  <c r="AF25" i="8"/>
  <c r="AE29" i="8"/>
  <c r="AE25" i="8"/>
  <c r="AA37" i="8"/>
  <c r="AH37" i="8" s="1"/>
  <c r="AG25" i="8"/>
  <c r="AH30" i="8"/>
  <c r="AG29" i="8"/>
  <c r="AA29" i="8"/>
  <c r="AH29" i="8" s="1"/>
  <c r="AC37" i="8"/>
  <c r="AC25" i="8"/>
  <c r="AC29" i="8"/>
  <c r="AB38" i="8" l="1"/>
  <c r="AD38" i="8"/>
  <c r="AG38" i="8"/>
  <c r="AF38" i="8"/>
  <c r="AE38" i="8"/>
  <c r="AA38" i="8"/>
  <c r="AC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63" authorId="0" shapeId="0" xr:uid="{D0533612-A659-40C6-AB31-07327135630B}">
      <text>
        <r>
          <rPr>
            <b/>
            <sz val="8"/>
            <rFont val="Tahoma"/>
            <family val="2"/>
          </rPr>
          <t xml:space="preserve">1,4–2,0-liitrine bensiinimootor
</t>
        </r>
      </text>
    </comment>
    <comment ref="C170" authorId="0" shapeId="0" xr:uid="{0F07AB75-242A-4535-928F-AF0DFCE732C7}">
      <text>
        <r>
          <rPr>
            <b/>
            <sz val="8"/>
            <rFont val="Tahoma"/>
            <family val="2"/>
          </rPr>
          <t>1,7–2,0-liitrine diiselmootor</t>
        </r>
      </text>
    </comment>
    <comment ref="C177" authorId="0" shapeId="0" xr:uid="{A8985604-5EA9-4386-82BF-FAB150E001BD}">
      <text>
        <r>
          <rPr>
            <b/>
            <sz val="8"/>
            <rFont val="Tahoma"/>
            <family val="2"/>
          </rPr>
          <t>Erineva suurusega surubiometaani kasutavate sõiduautode keskmine</t>
        </r>
      </text>
    </comment>
    <comment ref="C184" authorId="0" shapeId="0" xr:uid="{A5674DF4-EF56-48BA-84C9-4B6910E88FF1}">
      <text>
        <r>
          <rPr>
            <b/>
            <sz val="8"/>
            <rFont val="Tahoma"/>
            <family val="2"/>
          </rPr>
          <t>Erineva suurusega surumaagaasi kasutavate sõiduautode keskmine</t>
        </r>
      </text>
    </comment>
    <comment ref="C191" authorId="0" shapeId="0" xr:uid="{0D796763-AF8B-4C43-BCDD-69463D802753}">
      <text>
        <r>
          <rPr>
            <b/>
            <sz val="8"/>
            <rFont val="Tahoma"/>
            <family val="2"/>
          </rPr>
          <t xml:space="preserve">Keskmise suurusega hübriidauto 1,4–2,0-liitrise bensiinimootoriga </t>
        </r>
      </text>
    </comment>
    <comment ref="C199" authorId="0" shapeId="0" xr:uid="{D9B9324C-C33E-411E-8F11-BCD24BE602BD}">
      <text>
        <r>
          <rPr>
            <b/>
            <sz val="8"/>
            <rFont val="Tahoma"/>
            <family val="2"/>
          </rPr>
          <t xml:space="preserve">Erineva suurusega tavaelektril sõitvate autode keskmine
</t>
        </r>
      </text>
    </comment>
    <comment ref="D377" authorId="0" shapeId="0" xr:uid="{7E3EB270-329D-4BF0-82D5-FE1C6C8B3CFD}">
      <text>
        <r>
          <rPr>
            <sz val="9"/>
            <color indexed="81"/>
            <rFont val="Tahoma"/>
            <family val="2"/>
            <charset val="186"/>
          </rPr>
          <t>A4=1/16 A0</t>
        </r>
      </text>
    </comment>
  </commentList>
</comments>
</file>

<file path=xl/sharedStrings.xml><?xml version="1.0" encoding="utf-8"?>
<sst xmlns="http://schemas.openxmlformats.org/spreadsheetml/2006/main" count="2407" uniqueCount="522">
  <si>
    <t>ROHELISE KONTORI KESKKONNAJALAJÄLJE ARVUTUSMUDEL</t>
  </si>
  <si>
    <t>KESKKONNAJALAJÄLJE ARVUTUSMUDELI EESMÄRK</t>
  </si>
  <si>
    <t>Käesolev mudel pakub raamistiku organisatsioonidele oma kontori keskkonnajalajälje, sh kasvuhoonegaaside (KHG) jalajälje arvutamiseks ja seiramiseks. Mudel on eelkõige mõeldud kontoritegevusega seotud olulisemate keskkonnaaspektide/-mõjude (energiakasutus, veetarbimine, paberikasutus, jäätmeteke) mõõtmiseks ja aastapõhiseks KHG jalajälje hindamiseks. Sellisel kujul on arvutusmudel keskkonnajalajälje hindamise abivahendiks rohelise kontori süsteemi rakendanud ettevõtetele ja organisatsioonidele ning pakub aluse keskkonnaeesmärkide püstitamiseks ja oma keskkonnategevuse tulemuslikkuse järjepidevaks mõõtmiseks/hindamiseks. Samas saavad mudelit kasutada ka muud ettevõtted ja organisatsioonid, kes tahavad oma kontoritegevusega seotud keskkonnajalajälge hinnata ja seirata.</t>
  </si>
  <si>
    <t>SISU JA KASUTAMINE</t>
  </si>
  <si>
    <t>Rohelise kontori keskkonnajalajälje arvutusmudel võimaldab mõõta ja hinnata peamisi kontoritegevusega seotud keskkonnaaspekte (energia- ja materjalivood) ning eraldi kontoritegevusega seotud KHG jalajälge (mõjuala 1, 2 ja 3 olulisemate heiteallikate/tegevuskategooriate kaupa).</t>
  </si>
  <si>
    <r>
      <t xml:space="preserve">Kontoritegevuse olulisemad keskkonnaaspektid on välja toodud järgmiste energia- ja materjalivoogudena: 
</t>
    </r>
    <r>
      <rPr>
        <sz val="11"/>
        <rFont val="Calibri"/>
        <family val="2"/>
      </rPr>
      <t xml:space="preserve">• </t>
    </r>
    <r>
      <rPr>
        <b/>
        <sz val="11"/>
        <rFont val="Calibri"/>
        <family val="2"/>
        <scheme val="minor"/>
      </rPr>
      <t>ELEKTER</t>
    </r>
    <r>
      <rPr>
        <sz val="11"/>
        <rFont val="Calibri"/>
        <family val="2"/>
        <scheme val="minor"/>
      </rPr>
      <t xml:space="preserve"> </t>
    </r>
    <r>
      <rPr>
        <sz val="11"/>
        <rFont val="Calibri"/>
        <family val="2"/>
      </rPr>
      <t>‒</t>
    </r>
    <r>
      <rPr>
        <sz val="11"/>
        <rFont val="Calibri"/>
        <family val="2"/>
        <scheme val="minor"/>
      </rPr>
      <t xml:space="preserve"> kontori elektritarbimine
</t>
    </r>
    <r>
      <rPr>
        <b/>
        <sz val="11"/>
        <rFont val="Calibri"/>
        <family val="2"/>
        <scheme val="minor"/>
      </rPr>
      <t>• SOOJUS</t>
    </r>
    <r>
      <rPr>
        <sz val="11"/>
        <rFont val="Calibri"/>
        <family val="2"/>
        <scheme val="minor"/>
      </rPr>
      <t xml:space="preserve"> ‒ kontori soojusenergia tarbimine (küte ja jahutus)
</t>
    </r>
    <r>
      <rPr>
        <b/>
        <sz val="11"/>
        <rFont val="Calibri"/>
        <family val="2"/>
        <scheme val="minor"/>
      </rPr>
      <t>• VESI</t>
    </r>
    <r>
      <rPr>
        <sz val="11"/>
        <rFont val="Calibri"/>
        <family val="2"/>
        <scheme val="minor"/>
      </rPr>
      <t xml:space="preserve"> ‒ kontori veetarbimine
</t>
    </r>
    <r>
      <rPr>
        <b/>
        <sz val="11"/>
        <rFont val="Calibri"/>
        <family val="2"/>
        <scheme val="minor"/>
      </rPr>
      <t>• PABER</t>
    </r>
    <r>
      <rPr>
        <sz val="11"/>
        <rFont val="Calibri"/>
        <family val="2"/>
        <scheme val="minor"/>
      </rPr>
      <t xml:space="preserve"> ‒ kontori- ja pehmepaberi tarbimine
</t>
    </r>
    <r>
      <rPr>
        <b/>
        <sz val="11"/>
        <rFont val="Calibri"/>
        <family val="2"/>
        <scheme val="minor"/>
      </rPr>
      <t>• JÄÄTMED</t>
    </r>
    <r>
      <rPr>
        <sz val="11"/>
        <rFont val="Calibri"/>
        <family val="2"/>
        <scheme val="minor"/>
      </rPr>
      <t xml:space="preserve"> ‒ kontoris tekkiv olmejäätmete kogus ja jäätmete liigiti kogumine
Need on klassikalised keskkonnaaspektid, mida tuleks kontori tasandil regulaarselt mõõta, et hinnata kontori keskkonnajalajälge. Kui soovitakse arvestust pidada ka kodukontorite elektritarbimise kohta, siis tuleb selleks vastav andmekogumissüsteem sisse seada.
Nimetatud keskkonnaaspektide/-mõõdikute regulaarne (aastapõhine) seire lubab organisatsioonil seada ka asjakohaseid keskkonnaeesmärke ning hinnata oma keskkonnategevuse (sh rakendatud meetmete) tulemuslikkust.
Organisatsioon peab oma kontoritegevusega seotud tarbimisandmed (üldjuhul saab neid arvetelt või muudelt raamatupidamisdokumentidelt) sisestama soovitatavalt igakuiselt (v.a ostetud paberi kogus) mudeli töölehtedel olevatesse arvestustabelitesse. Vastavatel lehtedel on toodud juhised andmete sisestamiseks. Kõikide keskkonnaaspektidega seotud tarbimis-/tekkekoguste tulemused võetakse aastate kaupa kokku KOONDandmete lehel.
NB! Alati ei pruugi olla võimalik koguda kontori kohta kõiki asjakohased andmeid (nt tarbitud elektri- või soojusenergia kogused või olmejäätmete kogused või liigiti kogutud jäätmete kogused), kui kontoril ei ole oma energia-/veemõõdikuid või asutakse suuremas büroohoones, kus kõikide kontorite jäätmed liiguvad ühistesse jäätmekonteineritesse. Sellisel juhul ei saa kõiki keskkonnaaspekte mõõta ja need võib arvestusest välja jätta. Küll aga tuleks kontori keskkonnajalajälje (eelkõige KHG jalajälje) tulemuse kommunikeerimisel lisada juurde selgitus, kui üks või teine energia-, vee-, jäätme- või materjalivoo andmestik ei ole arvutustesse lisatud.</t>
    </r>
  </si>
  <si>
    <r>
      <rPr>
        <sz val="11"/>
        <rFont val="Calibri"/>
        <family val="2"/>
        <scheme val="minor"/>
      </rPr>
      <t>Lisaks keskkonnaaspektide tarbimispõhisele seirele võimaldab mudel arvutada kontoritegevusest tulenevat KHG jalajälge. Kontoritegevusega seotud peamiste keskkonnaaspektide (elekter, soojus, vesi, paber, jäätmed) KHG heide arvutatakse mudelis automaatselt vastavalt sisestatud tarbimis-/tekkekogustele. Ainult elektri ja soojusenergia tabelites tuleb KHG jalajälje arvutamiseks sisestada lisainformatsiooni. 
Kontoritegevuse KHG jalajälje arvutamise ulatuse määratlemisel tuleks peale nimetatud keskkonnaaspektide arvestada ka organisatsioonile kuuluvate sõidukite ja kliimaseadmete kasutust (M1 - mõjuala 1) ning mõjuala 3 (M3) alla kuuluvaid tüüpilisi tegevusi (tööreisid, töötajate tööle-koju liikumine, kontoriga seotud kaupade ja inimeste transporditeenus). Arvutusmudelis on eraldi töölehed koos juhistega nimetatud tegevuskategooriate andmete sisestamiseks:
• KHG_OMA SÕIDUKID M1
• KHG_HAJUSHEITMED M1
• KHG_TÖÖREISID M3
• KHG_TÖÖLE-KOJU M3
• KHG_TRANSPORDITEENUS M3
Üldjuhul eeldab nende tegevuskategooriate sisendandmete kogumine ettevõtte tasandil andmekogumise süsteemi loomist (nt töötajate tööle ja koju liikumise igaaastast analüüsi, tööreiside transpordiandmete kogumist</t>
    </r>
    <r>
      <rPr>
        <sz val="11"/>
        <color rgb="FFFF0000"/>
        <rFont val="Calibri"/>
        <family val="2"/>
        <scheme val="minor"/>
      </rPr>
      <t xml:space="preserve"> </t>
    </r>
    <r>
      <rPr>
        <sz val="11"/>
        <rFont val="Calibri"/>
        <family val="2"/>
        <scheme val="minor"/>
      </rPr>
      <t>jne). 
KHG jalajälje koondtulemus CO</t>
    </r>
    <r>
      <rPr>
        <vertAlign val="subscript"/>
        <sz val="11"/>
        <rFont val="Calibri"/>
        <family val="2"/>
        <scheme val="minor"/>
      </rPr>
      <t>2</t>
    </r>
    <r>
      <rPr>
        <sz val="11"/>
        <rFont val="Calibri"/>
        <family val="2"/>
        <scheme val="minor"/>
      </rPr>
      <t xml:space="preserve"> ekvivalentides tuuakse välja mudeli töölehel 'KHG JALAJÄLG KOOND' nii mõjualade kaupa kui ka suhtelise näitajana töötaja kohta.
Mudeli viimasel töölehel on toodud KHG jalajälje arvutamise aluseks olevad eriheitetegurid, mis tuginevad kliimaministeeriumi poolt kinnitatud vastavale andmebaasile (</t>
    </r>
    <r>
      <rPr>
        <u/>
        <sz val="11"/>
        <color theme="10"/>
        <rFont val="Calibri"/>
        <family val="2"/>
        <scheme val="minor"/>
      </rPr>
      <t>https://kliimaministeerium.ee/organisatsioonide-khg-jalajalg</t>
    </r>
    <r>
      <rPr>
        <sz val="11"/>
        <rFont val="Calibri"/>
        <family val="2"/>
        <scheme val="minor"/>
      </rPr>
      <t>). EKJA uuendab käesolevas mudelis kasutatavaid eriheitetegureid selle andmebaasi põhjal igal aastal.
NB! Kui ettevõte soovib kasutada muid eriheitetegureid, siis tuleb need sisestada eriheitetegurite töölehe tabelites olevate tegurite asemele.</t>
    </r>
  </si>
  <si>
    <t>ORGANISATSIOONI KONTORITEGEVUSE ÜLDANDMED</t>
  </si>
  <si>
    <t>TABELI TÄITMISE JUHIS:</t>
  </si>
  <si>
    <t>sisesta andmed</t>
  </si>
  <si>
    <t>andmed arvutatakse valemite abil</t>
  </si>
  <si>
    <t>ÜLDANDMED</t>
  </si>
  <si>
    <t>Kontoritöötajate arv kokku ‒ nii kontoris kui ka kodukontoris töötavad inimesed (taandatud täistööajale)</t>
  </si>
  <si>
    <t>Valdavalt kontoris töötavate inimeste arv (taandatud täistööajale)</t>
  </si>
  <si>
    <t>Kodukontoris töötavate inimeste arv (taandatud täistööajale)</t>
  </si>
  <si>
    <t>Kodukontoris töötavate inimeste osakaal</t>
  </si>
  <si>
    <r>
      <t>Kontori köetav üldpind (m</t>
    </r>
    <r>
      <rPr>
        <b/>
        <vertAlign val="superscript"/>
        <sz val="10"/>
        <color theme="1"/>
        <rFont val="Calibri"/>
        <family val="2"/>
        <scheme val="minor"/>
      </rPr>
      <t>2</t>
    </r>
    <r>
      <rPr>
        <b/>
        <sz val="10"/>
        <color theme="1"/>
        <rFont val="Calibri"/>
        <family val="2"/>
        <scheme val="minor"/>
      </rPr>
      <t>)</t>
    </r>
  </si>
  <si>
    <t>ELEKTRIENERGIA TARBIMINE</t>
  </si>
  <si>
    <r>
      <t xml:space="preserve">Kontori elektrienergia tarbimine on oluline keskkonnaaspekt, mida tuleks kõikide kontorite puhul (juhul, kui see on võimalik) mõõta ja perioodiliselt seirata.
Elektrienergia tarbimise andmed (kWh) on üldjuhul kättesaadavad vastavatel arvetel või muudel raamatupidamisdokumentidel.
Kui on otsustatud arvesse võtta ka kodukontorite elektritarbimist, siis tuleks sisse viia vastav arvestussüsteem. Allolevas tabelis on selleks kasutatud EcoAct metoodikat (Homeworking emissions whitepaper 2020), mis arvestab keskmiseks kodutöökoha elektritarbimiseks 150 W (arvuti, telefon, printer, valgustus), korrutades selle keskmise töötundide arvuga kuus (160) ja kodukontorites täistööajale taandatud töötajate arvuga. Selline keskmistatud lähenemine lubab lihtsama vaevaga kodukontorite elektritarbimist arvutada.
KHG jalajälje arvutamiseks tuleb alloleva tabeli kahes viimases veerus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sisestada taastuv- ehk roheelektri osakaal (taastuvelektri osakaal protsendina aastas tarbitud elektrist, mis võib olla nii ise toodetud ja tarbitud, nt oma päikesepaneelidest toodetud elekter, kui ka teenusepakkujalt ostetud elekter). Kodukontorite puhul tuleks arvutada keskmine kodukontorites kasutatud taastuvelektri osakaal, mis eeldab kodukontoris töötavate inimeste küsitlemist, et nende taastuvenergia kasutamist arvestusaastal välja selgitada.
Tabeli kõrval kuvatakse elektrienergia tarbimise kuupõhised andmed joongraafikuna.</t>
    </r>
  </si>
  <si>
    <t>mittetäidetavad lahtrid</t>
  </si>
  <si>
    <t>KHG JALAJÄLJE ARVUTAMISE ANDMED</t>
  </si>
  <si>
    <t>AASTA</t>
  </si>
  <si>
    <t>ANDMED</t>
  </si>
  <si>
    <t>Jaanuar</t>
  </si>
  <si>
    <t>Veebruar</t>
  </si>
  <si>
    <t>Märts</t>
  </si>
  <si>
    <t>Aprill</t>
  </si>
  <si>
    <t>Mai</t>
  </si>
  <si>
    <t xml:space="preserve">Juuni </t>
  </si>
  <si>
    <t>Juuli</t>
  </si>
  <si>
    <t>August</t>
  </si>
  <si>
    <t>September</t>
  </si>
  <si>
    <t>Oktoober</t>
  </si>
  <si>
    <t>November</t>
  </si>
  <si>
    <t>Detsember</t>
  </si>
  <si>
    <t>AASTAS KOKKU</t>
  </si>
  <si>
    <t>Taastuvelektri osakaal (%)</t>
  </si>
  <si>
    <t>Kontoris</t>
  </si>
  <si>
    <t>Kodukontorites</t>
  </si>
  <si>
    <t>Elektritarbimine kontoris (kWh)</t>
  </si>
  <si>
    <t>Kodukontoris töötajate arv (taandatud täistööajale)</t>
  </si>
  <si>
    <t>Elektritarbimine kodukontorites (kWh)</t>
  </si>
  <si>
    <t>Elektritarbimine kokku (kWh)</t>
  </si>
  <si>
    <t>Elektritarbimine töötaja kohta (kWh/in)</t>
  </si>
  <si>
    <t>SOOJUSENERGIA TARBIMINE</t>
  </si>
  <si>
    <r>
      <t>Kontori soojusenergia ehk kütte tarbimine on oluline keskkonnaaspekt, mida tuleks samuti kõikide kontorite puhul (juhul kui see on võimalik) mõõta ja perioodiliselt seirata. 
Soojusenergia tarbimise andmed (kWh) on üldjuhul kättesaadavad vastavatel arvetel või muudel raamatupidamisdokumentidel. Vajadusel võib neid andmeid küsida hoone haldajalt/rendileandjalt (kaudselt saab soojusenergia kasutamist arvestada kontori ruutmeetrite ja kogu hoone küttekulu põhjal). Soojusenergia/kütte tarbimise arvestust peetakse kontori köetava pinna kohta (kWh/m</t>
    </r>
    <r>
      <rPr>
        <i/>
        <vertAlign val="superscript"/>
        <sz val="11"/>
        <rFont val="Calibri"/>
        <family val="2"/>
        <scheme val="minor"/>
      </rPr>
      <t>2</t>
    </r>
    <r>
      <rPr>
        <i/>
        <sz val="11"/>
        <rFont val="Calibri"/>
        <family val="2"/>
        <scheme val="minor"/>
      </rPr>
      <t xml:space="preserve">).
Kui on soov arvutada soojusenergia/kütte tarbimisega seotud KHG jalajäljge, siis tuleb tabeli viimastes veergudes </t>
    </r>
    <r>
      <rPr>
        <sz val="11"/>
        <rFont val="Calibri"/>
        <family val="2"/>
      </rPr>
      <t>'</t>
    </r>
    <r>
      <rPr>
        <i/>
        <sz val="11"/>
        <rFont val="Calibri"/>
        <family val="2"/>
        <scheme val="minor"/>
      </rPr>
      <t>KHG JALAJÄLJE ARVUTAMISE ANDMED</t>
    </r>
    <r>
      <rPr>
        <sz val="11"/>
        <rFont val="Calibri"/>
        <family val="2"/>
      </rPr>
      <t>'</t>
    </r>
    <r>
      <rPr>
        <i/>
        <sz val="11"/>
        <rFont val="Calibri"/>
        <family val="2"/>
        <scheme val="minor"/>
      </rPr>
      <t xml:space="preserve"> valida rippmenüüst kaugkütte võrgupiirkond (juhul kui kontorihoone kasutab kaugkütet) või oma keskküttekatlas/katlamajas kasutatav põhiline kütuseliik.
Tallinna, Tartu ja Pärnu võrgupiirkonnas asuvate kontorite puhul (AS Utilitase ja AS Greni kliendid) on mudelisse vastava linna võrgupiirkonna CO</t>
    </r>
    <r>
      <rPr>
        <i/>
        <vertAlign val="subscript"/>
        <sz val="11"/>
        <rFont val="Calibri"/>
        <family val="2"/>
        <scheme val="minor"/>
      </rPr>
      <t>2</t>
    </r>
    <r>
      <rPr>
        <i/>
        <sz val="11"/>
        <rFont val="Calibri"/>
        <family val="2"/>
        <scheme val="minor"/>
      </rPr>
      <t xml:space="preserve"> eriheitetegur 2022. ja 2023. aasta kohta juba sisestatud. NB! 2024. aasta ja järgmiste aastate kaugkütte eriheitetegurid Tallinnas, Tartus ja Pärnus lisada ise töölehel 'KHG eriheitetegurid' asuvasse tabelisse. Muudes piirkondades asuvate kontorite puhul tuleks kaugkütte eriheitetegur (kg CO</t>
    </r>
    <r>
      <rPr>
        <i/>
        <vertAlign val="subscript"/>
        <sz val="11"/>
        <rFont val="Calibri"/>
        <family val="2"/>
        <scheme val="minor"/>
      </rPr>
      <t>2</t>
    </r>
    <r>
      <rPr>
        <i/>
        <sz val="11"/>
        <rFont val="Calibri"/>
        <family val="2"/>
        <scheme val="minor"/>
      </rPr>
      <t xml:space="preserve"> ekv/kWh) küsida kaugkütte teenusepakkujalt (energiatarnijalt), juhul kui seda pole arvelt, iseteenindusest või kodulehelt võimalik saada, ja sisestada see alloleva tabeli veergu 'Kaugkütte võrgupiirkonna eriheitetegur'. 
Kui kontoril on elektriküte ja te ei pea eraldi kütteks kuluva elektri arvestust, siis kajastub kogu elektri tarbimine töölehel 'ELEKTER'. 
Kuna üldjuhul kodukontorite küttekulu suuresti ei sõltu sellest, kas inimene töötab kodus või töökoha kontoris, siis kodukontorite puhul pole vaja eraldi soojuse tarbimise arvestust pidada ja sellega seotud KHG jalajälge hinnata.
Tabeli kõrval kuvatakse soojusenergia tarbimise kuupõhised andmed joongraafikuna.</t>
    </r>
  </si>
  <si>
    <t>vali andmed rippmenüüst</t>
  </si>
  <si>
    <t>Kaugkütte võrgupiirkond</t>
  </si>
  <si>
    <r>
      <t>Kaugkütte võrgupiirkonna eriheitetegur 
(kg CO</t>
    </r>
    <r>
      <rPr>
        <b/>
        <vertAlign val="subscript"/>
        <sz val="10"/>
        <rFont val="Calibri"/>
        <family val="2"/>
        <scheme val="minor"/>
      </rPr>
      <t xml:space="preserve">2 </t>
    </r>
    <r>
      <rPr>
        <b/>
        <sz val="10"/>
        <rFont val="Calibri"/>
        <family val="2"/>
        <charset val="186"/>
        <scheme val="minor"/>
      </rPr>
      <t>ekv/kWh)</t>
    </r>
  </si>
  <si>
    <t>Oma keskküttekatla kütuseliik</t>
  </si>
  <si>
    <t>Soojusenergia tarbimine kontoris (kWh)</t>
  </si>
  <si>
    <t>Tartu</t>
  </si>
  <si>
    <r>
      <t>Soojusenergia tarbimine ruutmeetri kohta (kWh/m</t>
    </r>
    <r>
      <rPr>
        <vertAlign val="superscript"/>
        <sz val="10"/>
        <rFont val="Calibri"/>
        <family val="2"/>
        <scheme val="minor"/>
      </rPr>
      <t>2</t>
    </r>
    <r>
      <rPr>
        <sz val="10"/>
        <rFont val="Calibri"/>
        <family val="2"/>
        <scheme val="minor"/>
      </rPr>
      <t>)</t>
    </r>
  </si>
  <si>
    <t>VEETARBIMINE</t>
  </si>
  <si>
    <r>
      <t>Veetarbimine on kontorites mõnevõrra väiksema keskkonnamõjuga keskkonnaaspekt kui elektri tarbimine või küte, kuid siiski tuleks rohelise kontori puhul ka kasutatud vee kogust (juhul kui see on võimalik) mõõta ja perioodiliselt seirata. Ka veetarbimise andmed (m</t>
    </r>
    <r>
      <rPr>
        <i/>
        <vertAlign val="superscript"/>
        <sz val="11"/>
        <rFont val="Calibri"/>
        <family val="2"/>
        <scheme val="minor"/>
      </rPr>
      <t>3</t>
    </r>
    <r>
      <rPr>
        <i/>
        <sz val="11"/>
        <rFont val="Calibri"/>
        <family val="2"/>
        <scheme val="minor"/>
      </rPr>
      <t>) on üldjuhul kättesaadavad vastavatel arvetel või muudel raamatupidamisdokumentidel.
Veetarbimise andmed (m</t>
    </r>
    <r>
      <rPr>
        <i/>
        <vertAlign val="superscript"/>
        <sz val="11"/>
        <rFont val="Calibri"/>
        <family val="2"/>
        <scheme val="minor"/>
      </rPr>
      <t>3</t>
    </r>
    <r>
      <rPr>
        <i/>
        <sz val="11"/>
        <rFont val="Calibri"/>
        <family val="2"/>
        <scheme val="minor"/>
      </rPr>
      <t xml:space="preserve">) tuleks sisestada kuude kaupa allolevasse tabelisse. 
Kuna kodukontorites tarbitav veekogus on suhteliselt väike (sh on väike kodukontorite veetarbimise KHG jalajälg), siis käesolevas arvutusmudelis kodukontorite veetarbimist arvestusse ei kaasata. 
Veetarbimisest (sh reovee puhastamisest) tuleneva KHG jalajälje hindamiseks pole lisaandmeid vaja sisestada ja jalajälg arvutatakse automaatselt siin töölehel sisestatud veetarbimise andmete põhjal lehel </t>
    </r>
    <r>
      <rPr>
        <sz val="11"/>
        <rFont val="Calibri"/>
        <family val="2"/>
      </rPr>
      <t>'</t>
    </r>
    <r>
      <rPr>
        <i/>
        <sz val="11"/>
        <rFont val="Calibri"/>
        <family val="2"/>
      </rPr>
      <t>KHG JALAJÄLG KOOND</t>
    </r>
    <r>
      <rPr>
        <sz val="11"/>
        <rFont val="Calibri"/>
        <family val="2"/>
      </rPr>
      <t>'</t>
    </r>
    <r>
      <rPr>
        <i/>
        <sz val="11"/>
        <rFont val="Calibri"/>
        <family val="2"/>
        <scheme val="minor"/>
      </rPr>
      <t>.
Tabeli kõrval kuvatakse veekasutuse kuupõhised andmed joongraafikuna.</t>
    </r>
  </si>
  <si>
    <r>
      <t>sisesta andmed arvetelt (m</t>
    </r>
    <r>
      <rPr>
        <i/>
        <vertAlign val="superscript"/>
        <sz val="10"/>
        <rFont val="Calibri"/>
        <family val="2"/>
        <scheme val="minor"/>
      </rPr>
      <t>3</t>
    </r>
    <r>
      <rPr>
        <i/>
        <sz val="10"/>
        <rFont val="Calibri"/>
        <family val="2"/>
        <scheme val="minor"/>
      </rPr>
      <t>)</t>
    </r>
  </si>
  <si>
    <t>Veetarbimine kontoris (m³)</t>
  </si>
  <si>
    <r>
      <t>Veetarbimine kontoris töötaja kohta (m</t>
    </r>
    <r>
      <rPr>
        <vertAlign val="superscript"/>
        <sz val="10"/>
        <color theme="1"/>
        <rFont val="Calibri"/>
        <family val="2"/>
        <scheme val="minor"/>
      </rPr>
      <t>3</t>
    </r>
    <r>
      <rPr>
        <sz val="10"/>
        <color theme="1"/>
        <rFont val="Calibri"/>
        <family val="2"/>
        <scheme val="minor"/>
      </rPr>
      <t>/in)</t>
    </r>
  </si>
  <si>
    <t>PABERIKASUTUS</t>
  </si>
  <si>
    <t>1 kontoripaberi pakk=</t>
  </si>
  <si>
    <t>lehte</t>
  </si>
  <si>
    <t>1 A4 leht=</t>
  </si>
  <si>
    <t>g</t>
  </si>
  <si>
    <t>Ostetud kontoripaberi pakke (tk)</t>
  </si>
  <si>
    <t>Kontoripaberi lehti (A4) kokku</t>
  </si>
  <si>
    <t>Kontoripaberi lehti (A4) töötaja kohta (lehti/in)</t>
  </si>
  <si>
    <t>Ostetud kontoripaber (kg)</t>
  </si>
  <si>
    <t>Ostetud tualettpaberit (m)</t>
  </si>
  <si>
    <t>JÄÄTMETEKE</t>
  </si>
  <si>
    <r>
      <t>Kontoris tekkivate olmejäätmete kogus ja liigiti kogumise määr on oluline keskkonnaaspekt, mida tuleks rohelise kontori puhul mõõta ja perioodiliselt (kuupõhiselt) seirata. Jäätmete tekkekoguse teadasaamiseks on üldjuhul kaks võimalust.
1. Kui kontoril on oma jäätmekonteinerid, siis saab tekkinud olmejäätmete kogust kaudselt hinnata konteinerite mahu ja tühjendamise sageduse põhjal. Allolevasse tabelisse tuleks sisestada tekkinud segaolmejäätmete ja liigiti kogutud jäätmeliikide maht (m</t>
    </r>
    <r>
      <rPr>
        <i/>
        <vertAlign val="superscript"/>
        <sz val="11"/>
        <color theme="1"/>
        <rFont val="Calibri"/>
        <family val="2"/>
        <scheme val="minor"/>
      </rPr>
      <t>3</t>
    </r>
    <r>
      <rPr>
        <i/>
        <sz val="11"/>
        <color theme="1"/>
        <rFont val="Calibri"/>
        <family val="2"/>
        <scheme val="minor"/>
      </rPr>
      <t xml:space="preserve">) kuus </t>
    </r>
    <r>
      <rPr>
        <sz val="11"/>
        <color theme="1"/>
        <rFont val="Calibri"/>
        <family val="2"/>
      </rPr>
      <t>‒</t>
    </r>
    <r>
      <rPr>
        <i/>
        <sz val="11"/>
        <color theme="1"/>
        <rFont val="Calibri"/>
        <family val="2"/>
        <scheme val="minor"/>
      </rPr>
      <t xml:space="preserve"> need andmed saab arvetelt. Tabelis teisendatakse maht massikaaluks (kg), kasutades järgmisi jäätmeliikide mahu ja massi teisendamise koefitsiente: </t>
    </r>
  </si>
  <si>
    <t xml:space="preserve">Liigiti kogutud biojäätmed (toidujäätmed): </t>
  </si>
  <si>
    <r>
      <t>1 m</t>
    </r>
    <r>
      <rPr>
        <i/>
        <vertAlign val="superscript"/>
        <sz val="11"/>
        <color theme="1"/>
        <rFont val="Calibri"/>
        <family val="2"/>
        <scheme val="minor"/>
      </rPr>
      <t>3</t>
    </r>
    <r>
      <rPr>
        <i/>
        <sz val="11"/>
        <color theme="1"/>
        <rFont val="Calibri"/>
        <family val="2"/>
        <scheme val="minor"/>
      </rPr>
      <t>=</t>
    </r>
  </si>
  <si>
    <t>tonni</t>
  </si>
  <si>
    <t>kg</t>
  </si>
  <si>
    <t>Liigiti kogutud klaaspakend:</t>
  </si>
  <si>
    <t>Liigiti kogutud paber ja kartong:</t>
  </si>
  <si>
    <t>Liigiti kogutud segapakend:</t>
  </si>
  <si>
    <t xml:space="preserve">Segaolmejäätmed: </t>
  </si>
  <si>
    <r>
      <t>Kui teie jäätmekäitleja annab oma massikaalud, siis tuleks ülaltoodud tabelis asendada olemasolevad koefitsiendid jäätmekäitleja antud koefitsientidega.
2. Juhul kui kõik büroohoones tekkinud jäätmed, sh liigiti kogutud jäätmed pannakse maja ühistesse jäätmekonteineritesse, siis ei ole võimalik teada saada ühe asutuse täpset olmejäätmete tekkekogust. Sel juhul soovitame teha oma asutuse sees jäätmeuuringu: ühe tüüpilise nädala jooksul kaaluda asutuses tekkivad jäätmed vastavalt tabelis olevatele liikidele (biojäätmed, klaaspakend, paber ja kartong, segapakend, segaolmejäätmed) ning tulemused korrutada nädalate arvuga kuus. Jäätmete kaalumist võiks teha 2</t>
    </r>
    <r>
      <rPr>
        <sz val="11"/>
        <rFont val="Calibri"/>
        <family val="2"/>
      </rPr>
      <t>‒</t>
    </r>
    <r>
      <rPr>
        <i/>
        <sz val="11"/>
        <rFont val="Calibri"/>
        <family val="2"/>
        <scheme val="minor"/>
      </rPr>
      <t>3 korda aastas eri aastaaegadel. 
Olmejäätmete tekke ja käitlemisega seotud KHG jalajälje hindamiseks tuleb allolevas tabelis sisestada segaolmejäätmete kogus sellele reale, kuidas toimub nende jäätmete edasine käitlus kohta (põletamine või prügilasse ladestamine). Need andmed saab jäätmeveoteenust pakkuva ettevõtte käest.
Kui pole teada, kuhu organisatsiooni segaolmejäätmed liiguvad, siis tuleks selleks valida segaolmejäätmete prügilasse ladestamine.
Kuna kodukontorites tekitatav jäätmekoguse (sh liigiti kogumise) hindamine on väga keeruline, siis käesolevas mudelis seda eraldi ei arvestata.</t>
    </r>
  </si>
  <si>
    <r>
      <t>sisesta jäätmete maht (m</t>
    </r>
    <r>
      <rPr>
        <i/>
        <vertAlign val="superscript"/>
        <sz val="10"/>
        <rFont val="Calibri"/>
        <family val="2"/>
        <scheme val="minor"/>
      </rPr>
      <t>3</t>
    </r>
    <r>
      <rPr>
        <i/>
        <sz val="10"/>
        <rFont val="Calibri"/>
        <family val="2"/>
        <scheme val="minor"/>
      </rPr>
      <t>) VÕI kaal (kg)</t>
    </r>
  </si>
  <si>
    <r>
      <t>Liigiti kogutud biojäätmed (m</t>
    </r>
    <r>
      <rPr>
        <vertAlign val="superscript"/>
        <sz val="10"/>
        <rFont val="Calibri"/>
        <family val="2"/>
        <scheme val="minor"/>
      </rPr>
      <t>3</t>
    </r>
    <r>
      <rPr>
        <sz val="10"/>
        <rFont val="Calibri"/>
        <family val="2"/>
        <scheme val="minor"/>
      </rPr>
      <t>)</t>
    </r>
  </si>
  <si>
    <t>Liigiti kogutud biojäätmed (kg), mahu põhjal arvutatuna</t>
  </si>
  <si>
    <t>Liigiti kogutud biojäätmed (kg)</t>
  </si>
  <si>
    <r>
      <t>Liigiti kogutud klaaspakend (m</t>
    </r>
    <r>
      <rPr>
        <vertAlign val="superscript"/>
        <sz val="10"/>
        <rFont val="Calibri"/>
        <family val="2"/>
        <scheme val="minor"/>
      </rPr>
      <t>3</t>
    </r>
    <r>
      <rPr>
        <sz val="10"/>
        <rFont val="Calibri"/>
        <family val="2"/>
        <scheme val="minor"/>
      </rPr>
      <t>)</t>
    </r>
  </si>
  <si>
    <t>Liigiti kogutud klaaspakend (kg), mahu põhjal arvutatuna</t>
  </si>
  <si>
    <t>Liigiti kogutud klaaspakend (kg)</t>
  </si>
  <si>
    <r>
      <t>Liigiti kogutud paber ja kartong (m</t>
    </r>
    <r>
      <rPr>
        <vertAlign val="superscript"/>
        <sz val="10"/>
        <rFont val="Calibri"/>
        <family val="2"/>
        <scheme val="minor"/>
      </rPr>
      <t>3</t>
    </r>
    <r>
      <rPr>
        <sz val="10"/>
        <rFont val="Calibri"/>
        <family val="2"/>
        <scheme val="minor"/>
      </rPr>
      <t>)</t>
    </r>
  </si>
  <si>
    <t>Liigiti kogutud paber ja kartong (kg), mahu põhjal arvutatuna</t>
  </si>
  <si>
    <t>Liigiti kogutud paber ja kartong (kg)</t>
  </si>
  <si>
    <r>
      <t>Liigiti kogutud segapakend (m</t>
    </r>
    <r>
      <rPr>
        <vertAlign val="superscript"/>
        <sz val="10"/>
        <rFont val="Calibri"/>
        <family val="2"/>
        <scheme val="minor"/>
      </rPr>
      <t>3</t>
    </r>
    <r>
      <rPr>
        <sz val="10"/>
        <rFont val="Calibri"/>
        <family val="2"/>
        <scheme val="minor"/>
      </rPr>
      <t>)</t>
    </r>
  </si>
  <si>
    <t>Liigiti kogutud segapakend (kg), mahu põhjal arvutatuna</t>
  </si>
  <si>
    <t>Liigiti kogutud segapakend (kg)</t>
  </si>
  <si>
    <t>LIIGITI KOGUTUD JÄÄTMED KOKKU (kg)</t>
  </si>
  <si>
    <r>
      <t>Segaolmejäätmed, prügilasse ladestamine (m</t>
    </r>
    <r>
      <rPr>
        <vertAlign val="superscript"/>
        <sz val="10"/>
        <color theme="1"/>
        <rFont val="Calibri"/>
        <family val="2"/>
        <scheme val="minor"/>
      </rPr>
      <t>3</t>
    </r>
    <r>
      <rPr>
        <sz val="10"/>
        <color theme="1"/>
        <rFont val="Calibri"/>
        <family val="2"/>
        <scheme val="minor"/>
      </rPr>
      <t>)</t>
    </r>
  </si>
  <si>
    <t>Segaolmejäätmed, prügilasse ladestamine (kg), mahu põhjal arvutatuna</t>
  </si>
  <si>
    <t>Segaolmejäätmed, prügilasse ladestamine (kg)</t>
  </si>
  <si>
    <r>
      <t>Segaolmejäätmed, põletamine (m</t>
    </r>
    <r>
      <rPr>
        <vertAlign val="superscript"/>
        <sz val="10"/>
        <color theme="1"/>
        <rFont val="Calibri"/>
        <family val="2"/>
        <scheme val="minor"/>
      </rPr>
      <t>3</t>
    </r>
    <r>
      <rPr>
        <sz val="10"/>
        <color theme="1"/>
        <rFont val="Calibri"/>
        <family val="2"/>
        <scheme val="minor"/>
      </rPr>
      <t>)</t>
    </r>
  </si>
  <si>
    <t>Segaolmejäätmed, põletamine (kg), mahu põhjal arvutatuna</t>
  </si>
  <si>
    <t>Segaolmejäätmed, põletamine (kg)</t>
  </si>
  <si>
    <t>Segaolmejäätmed kokku (kg)</t>
  </si>
  <si>
    <t>OLMEJÄÄTMED KOKKU (kg)</t>
  </si>
  <si>
    <t>Olmejäätmete teke kontoris töötaja kohta (kg/in)</t>
  </si>
  <si>
    <t>Liigiti kogutud jäätmete osakaal (%)</t>
  </si>
  <si>
    <t>ELEKTRI-, SOOJUSENERGIA, VEE- JA PABERIKASUTUSE NING JÄÄTMETEKKE KOONDTULEMUSED</t>
  </si>
  <si>
    <t>Sellel vahelehel võetakse kokku elektri-, soojusenergia, vee- ja paberikasutuse ning olmejäätmete tekke aastapõhised andmed eelmistelt töölehtedelt. Kodukontori andmed on lisatud ainult kõige olulisema keskkonnaaspekti ehk elektrienergia tarbimise puhul, kui need andmed on vastavale lehele sisestatud. Tabelite kõrval kuvatakse põhinäitajad joonistena.</t>
  </si>
  <si>
    <t>ELEKTRITARBIMINE</t>
  </si>
  <si>
    <t>Elektrienergia tarbimine kokku (kWh)</t>
  </si>
  <si>
    <t>Elektrienergia tarbimine töötaja kohta (kWh/in)</t>
  </si>
  <si>
    <r>
      <t>Soojusenergia tarbimine kontori ruutmeetri kohta (kWh/m</t>
    </r>
    <r>
      <rPr>
        <vertAlign val="superscript"/>
        <sz val="10"/>
        <rFont val="Calibri"/>
        <family val="2"/>
      </rPr>
      <t>²</t>
    </r>
    <r>
      <rPr>
        <sz val="10"/>
        <rFont val="Calibri"/>
        <family val="2"/>
        <charset val="186"/>
        <scheme val="minor"/>
      </rPr>
      <t>)</t>
    </r>
  </si>
  <si>
    <r>
      <t>Veetarbimine kontoris (m</t>
    </r>
    <r>
      <rPr>
        <vertAlign val="superscript"/>
        <sz val="10"/>
        <rFont val="Tahoma"/>
        <family val="2"/>
      </rPr>
      <t>³</t>
    </r>
    <r>
      <rPr>
        <sz val="10"/>
        <rFont val="Calibri"/>
        <family val="2"/>
        <scheme val="minor"/>
      </rPr>
      <t>)</t>
    </r>
  </si>
  <si>
    <r>
      <t>Veetarbimine kontoris töötaja kohta (m</t>
    </r>
    <r>
      <rPr>
        <vertAlign val="superscript"/>
        <sz val="10"/>
        <rFont val="Tahoma"/>
        <family val="2"/>
      </rPr>
      <t>³</t>
    </r>
    <r>
      <rPr>
        <sz val="10"/>
        <rFont val="Calibri"/>
        <family val="2"/>
        <charset val="186"/>
        <scheme val="minor"/>
      </rPr>
      <t>/in)</t>
    </r>
  </si>
  <si>
    <t>OLMEJÄÄTMETE TEKE</t>
  </si>
  <si>
    <t>Liigiti kogutud segapakendid (kg)</t>
  </si>
  <si>
    <t>Liigiti kogutud jäätmed kokku (kg)</t>
  </si>
  <si>
    <t>Segaolmejäätmed (kg)</t>
  </si>
  <si>
    <t>Olmejäätmete teke kokku (kg)</t>
  </si>
  <si>
    <t>Olmejäätmete teke kokku (t)</t>
  </si>
  <si>
    <t>TÖÖSÕIDUD ORGANISATSIOONI OMA SÕIDUKITEGA</t>
  </si>
  <si>
    <t>KÜTUSE-/ ELEKTRIKULU</t>
  </si>
  <si>
    <r>
      <t>KHG HEITKOGUS 
(t CO</t>
    </r>
    <r>
      <rPr>
        <b/>
        <vertAlign val="subscript"/>
        <sz val="10"/>
        <color theme="1"/>
        <rFont val="Calibri"/>
        <family val="2"/>
        <scheme val="minor"/>
      </rPr>
      <t>2</t>
    </r>
    <r>
      <rPr>
        <b/>
        <sz val="10"/>
        <color theme="1"/>
        <rFont val="Calibri"/>
        <family val="2"/>
        <scheme val="minor"/>
      </rPr>
      <t xml:space="preserve"> ekv)</t>
    </r>
  </si>
  <si>
    <t>Töösõidud organisatsiooni oma sõidukitega</t>
  </si>
  <si>
    <t>Tarbitud bensiini kogus (liitrit)</t>
  </si>
  <si>
    <t>Tarbitud diisli kogus (liitrit)</t>
  </si>
  <si>
    <t>Tarbitud biometaani kogus (kg)</t>
  </si>
  <si>
    <t>Tarbitud maagaasi kogus (kg)</t>
  </si>
  <si>
    <t>Tarbitud taastuvelektri kogus (kWh)</t>
  </si>
  <si>
    <t>Tarbitud tavaelektri kogus (kWh)</t>
  </si>
  <si>
    <t>Organisatsiooni sõidukite kütusetarbimise KHG heitkogus kokku</t>
  </si>
  <si>
    <t>Organisatsiooni sõidukite elektritarbimise KHG heitkogus kokku</t>
  </si>
  <si>
    <t>HAJUSHEITMED</t>
  </si>
  <si>
    <r>
      <rPr>
        <i/>
        <sz val="11"/>
        <rFont val="Calibri"/>
        <family val="2"/>
        <scheme val="minor"/>
      </rPr>
      <t>Fluoritud kasvuhoonegaaside ehk F-gaaside kasutamisest tuleneva KHG jalajälje arvutamiseks on vaja teada, kui palju kontori kliimaseadmetest aasta jooksul neid gaase atmosfääri lekib n-ö hajusheitmetena.
Üldjuhul saab seda hinnata igal aastal kliimaseadmetesse lisatavate F-gaaside koguse kaudu, mille kohta saab andmeid enamasti seadmete hooldusettevõttelt (või FOKA registrist).
Allolevas tabelis on veeru 'ANDMED' rippmenüüst võimalik valida enamlevinud F-gaaside tüübid. Veergu 'SÜSTEEMI VÕI SEADMESSE LISATUD (LEKKINUD) F-GAASI KOGUS' sisestada aastas seadmetesse/süsteemidesse täiendavalt lisatud F-gaasi kogus (mitte arvestada seadmete esmatäitmise või muid F-gaasi lisamise juhte, kui tegu pole nende gaaside kasutamisel tekkinud lekke kompenseerimisega).
Kui rippmenüüs teile vajalikke F-gaase ei ole, siis võib kasutada EKUKi kodulehel olevat F-gaaside CO</t>
    </r>
    <r>
      <rPr>
        <i/>
        <vertAlign val="subscript"/>
        <sz val="11"/>
        <rFont val="Calibri"/>
        <family val="2"/>
        <scheme val="minor"/>
      </rPr>
      <t>2</t>
    </r>
    <r>
      <rPr>
        <i/>
        <sz val="11"/>
        <rFont val="Calibri"/>
        <family val="2"/>
        <scheme val="minor"/>
      </rPr>
      <t xml:space="preserve"> ekvivalendi kalkulaatorit: 
</t>
    </r>
    <r>
      <rPr>
        <i/>
        <u/>
        <sz val="11"/>
        <color theme="10"/>
        <rFont val="Calibri"/>
        <family val="2"/>
        <scheme val="minor"/>
      </rPr>
      <t xml:space="preserve">https://klab.ee/f-gaasid/f-gaaside-co%e2%82%82-ekvivalendi-kalkulaator/ </t>
    </r>
    <r>
      <rPr>
        <i/>
        <sz val="11"/>
        <rFont val="Calibri"/>
        <family val="2"/>
        <scheme val="minor"/>
      </rPr>
      <t xml:space="preserve">ning sisestada tulemuse lehe </t>
    </r>
    <r>
      <rPr>
        <i/>
        <sz val="11"/>
        <rFont val="Calibri"/>
        <family val="2"/>
      </rPr>
      <t>'</t>
    </r>
    <r>
      <rPr>
        <i/>
        <sz val="11"/>
        <rFont val="Calibri"/>
        <family val="2"/>
        <scheme val="minor"/>
      </rPr>
      <t>KHG JALAJÄLG KOOND' reale 'Hajusheitmed' vastava aasta lahtrisse.</t>
    </r>
  </si>
  <si>
    <t>SÜSTEEMI VÕI SEADMESSE LISATUD (LEKKINUD) F-GAASI KOGUS (kg)</t>
  </si>
  <si>
    <t>GLOBAALSE SOOJENEMISE POTENTSIAAL</t>
  </si>
  <si>
    <t>Kasutatud F-gaas</t>
  </si>
  <si>
    <t>Hajusheitmete KHG heitkogus kokku</t>
  </si>
  <si>
    <t>TÖÖREISID</t>
  </si>
  <si>
    <r>
      <t>Organisatsiooni tööreisid võivad moodustada olulise osa kontoripõhise tegevusega seotud KHG heitest.
Tööreisidest/lähetustest tuleneva KHG jalajälje hindamiseks sisestage siia lehele aasta jooksul tööreisidel sõidukitega läbitud vahemaa. Autode puhul on võimalik eraldi arvestada bensiini-, diisli-, gaasi-, hübriid- või elektriautodega läbitud vahemaa. Elektriautode puhul märkida, kas laadimiseks kasutati tavaelektrit või taastuvat elektrit. Andmete sisestamine (tööreisideks kasutatavate sõidukite ja läbitud vahemaade igaaastased koondandmed) eeldab, et organisatsioon peab eraldi arvestust selliste andmete kogumiseks oma töötajate tööreiside/lähetuste dokumenteerimisel. Kui sellist süsteemi ei ole, siis tuleks see organisatsioonis esmalt sisse viia.
Ühissõidukite puhul on vaja sisestada vastava sõidukiliigiga läbitud sõitjakilomeetrid (üks sõitjakilomeeter (sõitja-km) on ühe sõitja vedamine ühe kilomeetri kaugusele). 
Kui soovite tööreisidest tuleneva KHG heitkoguse ise välja arvutada (nt kui teil on tööreiside KHG jalajälje arvutamise süsteem juba eraldi olemas), siis sisestage vastava sõidukiliigi kasutamisest tulenev KHG heide (tonni CO</t>
    </r>
    <r>
      <rPr>
        <i/>
        <vertAlign val="subscript"/>
        <sz val="11"/>
        <rFont val="Calibri"/>
        <family val="2"/>
        <scheme val="minor"/>
      </rPr>
      <t>2</t>
    </r>
    <r>
      <rPr>
        <i/>
        <sz val="11"/>
        <rFont val="Calibri"/>
        <family val="2"/>
        <scheme val="minor"/>
      </rPr>
      <t xml:space="preserve"> ekvivalenti) veergu </t>
    </r>
    <r>
      <rPr>
        <sz val="11"/>
        <rFont val="Calibri"/>
        <family val="2"/>
      </rPr>
      <t>'</t>
    </r>
    <r>
      <rPr>
        <i/>
        <sz val="11"/>
        <rFont val="Calibri"/>
        <family val="2"/>
        <scheme val="minor"/>
      </rPr>
      <t xml:space="preserve">KHG HEITKOGUS (ise välja arvutatuna)'. </t>
    </r>
  </si>
  <si>
    <t xml:space="preserve">LÄBITUD VAHEMAA </t>
  </si>
  <si>
    <t>KHG HEITKOGUS (läbitud vahemaa põhjal arvutatud)</t>
  </si>
  <si>
    <t>KHG HEITKOGUS 
(ise välja arvutatuna)</t>
  </si>
  <si>
    <t>Tööreisid autoga</t>
  </si>
  <si>
    <t>km</t>
  </si>
  <si>
    <r>
      <t>t CO</t>
    </r>
    <r>
      <rPr>
        <b/>
        <vertAlign val="subscript"/>
        <sz val="10"/>
        <color theme="1"/>
        <rFont val="Calibri"/>
        <family val="2"/>
        <scheme val="minor"/>
      </rPr>
      <t>2</t>
    </r>
    <r>
      <rPr>
        <b/>
        <sz val="10"/>
        <color theme="1"/>
        <rFont val="Calibri"/>
        <family val="2"/>
        <scheme val="minor"/>
      </rPr>
      <t xml:space="preserve"> ekv</t>
    </r>
  </si>
  <si>
    <t>Bensiiniauto</t>
  </si>
  <si>
    <t>Diiselauto</t>
  </si>
  <si>
    <t>Gaasiauto (biometaan)</t>
  </si>
  <si>
    <t>Gaasiauto (maagaas)</t>
  </si>
  <si>
    <t>Hübriidauto</t>
  </si>
  <si>
    <t>Taastuvelektriga laaditud elektriauto</t>
  </si>
  <si>
    <t>Tavaelektriga laaditud elektriauto</t>
  </si>
  <si>
    <t>Takso</t>
  </si>
  <si>
    <t>Tööreisid ühistranspordiga</t>
  </si>
  <si>
    <t>sõitja-km</t>
  </si>
  <si>
    <t>Kaugliinibuss</t>
  </si>
  <si>
    <t>Linnaliinibuss Tallinnas</t>
  </si>
  <si>
    <t>Linnaliinibuss mujal Eestis</t>
  </si>
  <si>
    <t>Diiselrong</t>
  </si>
  <si>
    <t>Elektrirong</t>
  </si>
  <si>
    <t>Laev</t>
  </si>
  <si>
    <t>Lennuk</t>
  </si>
  <si>
    <t>Tööreiside KHG heitkogus kokku</t>
  </si>
  <si>
    <t>TÖÖTAJATE TÖÖLE-KOJU LIIKUMINE</t>
  </si>
  <si>
    <r>
      <t xml:space="preserve">Siia lehele saab sisestada aasta jooksul tehtud tööle-koju sõidud sõidukitega, mis ei kuulu ettevõttele/organisatsioonile. Ka siin tuleks sisse viia perioodiline töötajate tööle-koju liikumise arvestuse süsteem, mis lubaks vähemalt üldistatud kujul saada andmeid, kuidas ja milliste sõiduvahenditega töötajad tööl käivad. Sõitude kohta on kõige lihtsam saada andmeid töötajate küsitluse kaudu (sh küsida, kui pikk on keskmiselt töötaja tööle ja tagasi koju liikumise vahemaa ning kuidas/milliseid sõiduvahendeid töötaja tööle-koju liikumisel aasta jooksul kasutab). Saadud andmed – töötajate arvestusaastal läbitud vahemaa kokku sõiduvahendite kaupa – tuleb sisestada alloleva tabeli veergu </t>
    </r>
    <r>
      <rPr>
        <i/>
        <sz val="11"/>
        <rFont val="Calibri"/>
        <family val="2"/>
      </rPr>
      <t xml:space="preserve">'TÖÖTAJATE </t>
    </r>
    <r>
      <rPr>
        <i/>
        <sz val="11"/>
        <rFont val="Calibri"/>
        <family val="2"/>
        <scheme val="minor"/>
      </rPr>
      <t>LÄBITUD VAHEMAA KOKKU (km)'.</t>
    </r>
  </si>
  <si>
    <t>TABELITE TÄITMISE JUHIS:</t>
  </si>
  <si>
    <t>TÖÖTAJATE LÄBITUD VAHEMAA KOKKU (km)</t>
  </si>
  <si>
    <r>
      <t>KHG HEITKOGUS (t CO</t>
    </r>
    <r>
      <rPr>
        <b/>
        <vertAlign val="subscript"/>
        <sz val="10"/>
        <rFont val="Calibri"/>
        <family val="2"/>
        <scheme val="minor"/>
      </rPr>
      <t>2</t>
    </r>
    <r>
      <rPr>
        <b/>
        <sz val="10"/>
        <rFont val="Calibri"/>
        <family val="2"/>
        <scheme val="minor"/>
      </rPr>
      <t xml:space="preserve"> ekv)</t>
    </r>
  </si>
  <si>
    <t>Tööle-koju liikumine autoga</t>
  </si>
  <si>
    <t>Taastuvelektriga laetud elektriauto</t>
  </si>
  <si>
    <t>Tavaelektriga laetud elektriauto</t>
  </si>
  <si>
    <t>Tööle-koju liikumine ühistranspordiga</t>
  </si>
  <si>
    <t>Maakonnaliinibuss</t>
  </si>
  <si>
    <t>Tramm/troll</t>
  </si>
  <si>
    <t>Tööle-koju liikumine jalgratta/tõukerattaga</t>
  </si>
  <si>
    <t>Tavajalgratas</t>
  </si>
  <si>
    <t>Taastuvelektriga laetud elektriratas (sh Bolt, Tuul)</t>
  </si>
  <si>
    <t>Tavaelektriga laetud elektriratas</t>
  </si>
  <si>
    <t>Tööle-koju liikumine jala</t>
  </si>
  <si>
    <t>Tööle-koju liikumise KHG heitkogus kokku</t>
  </si>
  <si>
    <t>SISSEOSTETUD TRANSPORDITEENUS</t>
  </si>
  <si>
    <t>KHG HEITKOGUS
(kütuse-/elektrikulu põhjal)</t>
  </si>
  <si>
    <t>KHG HEITKOGUS 
(läbisõidu põhjal)</t>
  </si>
  <si>
    <t>KHG HEITKOGUS AASTAS KOKKU</t>
  </si>
  <si>
    <t>l või kWh</t>
  </si>
  <si>
    <r>
      <t>t CO</t>
    </r>
    <r>
      <rPr>
        <b/>
        <vertAlign val="subscript"/>
        <sz val="10"/>
        <rFont val="Calibri"/>
        <family val="2"/>
        <scheme val="minor"/>
      </rPr>
      <t>2</t>
    </r>
    <r>
      <rPr>
        <b/>
        <sz val="10"/>
        <rFont val="Calibri"/>
        <family val="2"/>
        <scheme val="minor"/>
      </rPr>
      <t xml:space="preserve"> ekv l, kg või kWh kohta</t>
    </r>
  </si>
  <si>
    <r>
      <t>t CO</t>
    </r>
    <r>
      <rPr>
        <b/>
        <vertAlign val="subscript"/>
        <sz val="10"/>
        <rFont val="Calibri"/>
        <family val="2"/>
        <scheme val="minor"/>
      </rPr>
      <t>2</t>
    </r>
    <r>
      <rPr>
        <b/>
        <sz val="10"/>
        <rFont val="Calibri"/>
        <family val="2"/>
        <scheme val="minor"/>
      </rPr>
      <t xml:space="preserve"> ekv/km</t>
    </r>
  </si>
  <si>
    <t>tonn-km</t>
  </si>
  <si>
    <r>
      <t>t CO</t>
    </r>
    <r>
      <rPr>
        <b/>
        <vertAlign val="subscript"/>
        <sz val="10"/>
        <rFont val="Calibri"/>
        <family val="2"/>
        <scheme val="minor"/>
      </rPr>
      <t>2</t>
    </r>
    <r>
      <rPr>
        <b/>
        <sz val="10"/>
        <rFont val="Calibri"/>
        <family val="2"/>
        <scheme val="minor"/>
      </rPr>
      <t xml:space="preserve"> ekv/tonn-km</t>
    </r>
  </si>
  <si>
    <r>
      <t>t CO</t>
    </r>
    <r>
      <rPr>
        <b/>
        <vertAlign val="subscript"/>
        <sz val="10"/>
        <rFont val="Calibri"/>
        <family val="2"/>
        <scheme val="minor"/>
      </rPr>
      <t>2</t>
    </r>
    <r>
      <rPr>
        <b/>
        <sz val="10"/>
        <rFont val="Calibri"/>
        <family val="2"/>
        <scheme val="minor"/>
      </rPr>
      <t xml:space="preserve"> ekv</t>
    </r>
  </si>
  <si>
    <t>Kauba transport</t>
  </si>
  <si>
    <t>Kaubik, bensiin</t>
  </si>
  <si>
    <t>Kaubik, diisel</t>
  </si>
  <si>
    <t xml:space="preserve">Kaubik, taastuvelekter </t>
  </si>
  <si>
    <t>Kaubik, tavaelekter</t>
  </si>
  <si>
    <t>Inimeste transport</t>
  </si>
  <si>
    <t>Buss, diisel</t>
  </si>
  <si>
    <t>Väikebuss, diisel</t>
  </si>
  <si>
    <t>Sisseostetud transporditeenuse KHG heitkogus kokku</t>
  </si>
  <si>
    <t>KHG HEITKOGUS 
(kütuse-/elektrikulu põhjal)</t>
  </si>
  <si>
    <t>ROHELISE KONTORI KASVUHOONEGAASIDE JALAJÄLJE KOONDTULEMUS</t>
  </si>
  <si>
    <r>
      <rPr>
        <i/>
        <sz val="11"/>
        <rFont val="Calibri"/>
        <family val="2"/>
        <scheme val="minor"/>
      </rPr>
      <t>Siin lehel võetakse kokku nii kontori energiatarbimisest, transpordist, hajusheitmetest, vee- ja paberikasutusest kui ka olmejäätmetest tulenev KHG jalajälg. Tulemused on esitatud mõjualade kaupa (vt mõjualade jaotamise metoodilist selgitust:
(</t>
    </r>
    <r>
      <rPr>
        <i/>
        <u/>
        <sz val="11"/>
        <color theme="10"/>
        <rFont val="Calibri"/>
        <family val="2"/>
        <scheme val="minor"/>
      </rPr>
      <t>https://kliimaministeerium.ee/organisatsioonide-khg-jalajalg</t>
    </r>
    <r>
      <rPr>
        <i/>
        <sz val="11"/>
        <rFont val="Calibri"/>
        <family val="2"/>
        <scheme val="minor"/>
      </rPr>
      <t>)
Tabeli kõige alumises reas tuuakse välja organisatsiooni KHG jalajälg arvestatuna ühe töötaja kohta.</t>
    </r>
  </si>
  <si>
    <t>KHG JALAJÄLG MÕJUALADE KAUPA (CO₂ ekv t/a)</t>
  </si>
  <si>
    <t>Organisatsiooni sõidukite kütusetarbimine</t>
  </si>
  <si>
    <t>Hajusheitmed kliimaseadmetest</t>
  </si>
  <si>
    <t>MÕJUALA 1 KOKKU</t>
  </si>
  <si>
    <t xml:space="preserve">Kontori elektrienergia tarbimine </t>
  </si>
  <si>
    <t xml:space="preserve">Kontori soojusenergia tarbimine </t>
  </si>
  <si>
    <t>Organisatsiooni sõidukite elektritarbimine</t>
  </si>
  <si>
    <t>MÕJUALA 2 KOKKU</t>
  </si>
  <si>
    <t xml:space="preserve">Kodukontorite elektrienergia tarbimine </t>
  </si>
  <si>
    <t>Tööreisid</t>
  </si>
  <si>
    <t xml:space="preserve">Tööle-koju liikumine </t>
  </si>
  <si>
    <t>Sisseostetud transporditeenus</t>
  </si>
  <si>
    <t>Joonise andmed:</t>
  </si>
  <si>
    <t>Veetarbimine ja reovee käitlus</t>
  </si>
  <si>
    <t>MÕJUALA 1</t>
  </si>
  <si>
    <t>Organisatsiooni sõidukite kütus</t>
  </si>
  <si>
    <t>Paberikasutus</t>
  </si>
  <si>
    <t>Hajusheitmed</t>
  </si>
  <si>
    <t>Jäätmekäitlus</t>
  </si>
  <si>
    <t>Mõjuala 1 kokku</t>
  </si>
  <si>
    <t>MÕJUALA 3 KOKKU</t>
  </si>
  <si>
    <t>MÕJUALA 2</t>
  </si>
  <si>
    <t>Kontori elekter</t>
  </si>
  <si>
    <t>Kontori küte</t>
  </si>
  <si>
    <t>Organisatsiooni elektriautod</t>
  </si>
  <si>
    <t>Mõjuala 2 kokku</t>
  </si>
  <si>
    <r>
      <t xml:space="preserve">Mõjuala 1 </t>
    </r>
    <r>
      <rPr>
        <sz val="10"/>
        <color theme="1"/>
        <rFont val="Calibri"/>
        <family val="2"/>
      </rPr>
      <t>‒</t>
    </r>
    <r>
      <rPr>
        <sz val="10"/>
        <color theme="1"/>
        <rFont val="Calibri"/>
        <family val="2"/>
        <scheme val="minor"/>
      </rPr>
      <t xml:space="preserve"> organisatsiooni omatud/kontrollitud heiteallikatest tulenev otsene KHG heide</t>
    </r>
  </si>
  <si>
    <t>MÕJUALA 3</t>
  </si>
  <si>
    <t>Kodukontor</t>
  </si>
  <si>
    <t>Mõjuala 2 ‒ energiatarbimisest tulenev kaudne KHG heide</t>
  </si>
  <si>
    <t xml:space="preserve">Mõjuala 3 ‒ muu kaudne KHG heide </t>
  </si>
  <si>
    <t>Tööle-koju</t>
  </si>
  <si>
    <t>KHG JALAJÄLG KOKKU</t>
  </si>
  <si>
    <t>Transporditeenus</t>
  </si>
  <si>
    <t>Vesi</t>
  </si>
  <si>
    <r>
      <t>KHG jalajälg töötaja kohta (t CO</t>
    </r>
    <r>
      <rPr>
        <b/>
        <vertAlign val="subscript"/>
        <sz val="10"/>
        <color theme="0"/>
        <rFont val="Calibri"/>
        <family val="2"/>
        <scheme val="minor"/>
      </rPr>
      <t>2</t>
    </r>
    <r>
      <rPr>
        <b/>
        <sz val="10"/>
        <color theme="0"/>
        <rFont val="Calibri"/>
        <family val="2"/>
        <scheme val="minor"/>
      </rPr>
      <t xml:space="preserve"> ekv/in)</t>
    </r>
  </si>
  <si>
    <t>Paber</t>
  </si>
  <si>
    <t>Jäätmed</t>
  </si>
  <si>
    <t>Mõjuala 3 kokku</t>
  </si>
  <si>
    <t>KOKKU</t>
  </si>
  <si>
    <t>Vali aasta</t>
  </si>
  <si>
    <t>ERIHEITETEGURID</t>
  </si>
  <si>
    <r>
      <rPr>
        <i/>
        <sz val="11"/>
        <rFont val="Calibri"/>
        <family val="2"/>
        <scheme val="minor"/>
      </rPr>
      <t>KHG jalajälje arvutamise aluseks olevad eriheitetegurid põhinevad Kliimaministeeriumi poolt kinnitatud vastaval andmebaasil (</t>
    </r>
    <r>
      <rPr>
        <i/>
        <u/>
        <sz val="11"/>
        <color theme="10"/>
        <rFont val="Calibri"/>
        <family val="2"/>
        <scheme val="minor"/>
      </rPr>
      <t>https://kliimaministeerium.ee/organisatsioonide-khg-jalajalg</t>
    </r>
    <r>
      <rPr>
        <i/>
        <sz val="11"/>
        <rFont val="Calibri"/>
        <family val="2"/>
        <scheme val="minor"/>
      </rPr>
      <t>). 
Elektrienergia ja kaugkütte vastava võrgupiirkonna heitetegurid saab ise sisestada tabelis toodud allikate põhjal. Ülejäänud eriheitetegurite muudatustest anname eraldi teada.</t>
    </r>
  </si>
  <si>
    <t>M2 - Sisseostetud elekter</t>
  </si>
  <si>
    <t>Aasta</t>
  </si>
  <si>
    <t>Elektrienergia segajäägi eriheide</t>
  </si>
  <si>
    <t>Eriheitetegur</t>
  </si>
  <si>
    <t>Ühik</t>
  </si>
  <si>
    <t>Allikas</t>
  </si>
  <si>
    <t>Elektrienergia segajääk</t>
  </si>
  <si>
    <r>
      <t>kg CO</t>
    </r>
    <r>
      <rPr>
        <vertAlign val="subscript"/>
        <sz val="10"/>
        <color theme="1"/>
        <rFont val="Calibri"/>
        <family val="2"/>
        <scheme val="minor"/>
      </rPr>
      <t>2</t>
    </r>
    <r>
      <rPr>
        <sz val="10"/>
        <color theme="1"/>
        <rFont val="Calibri"/>
        <family val="2"/>
        <scheme val="minor"/>
      </rPr>
      <t>/kWh</t>
    </r>
  </si>
  <si>
    <t>Elering 2022. Elektrienergia segajäägi eriheide 2021</t>
  </si>
  <si>
    <t>Elering 2023. Elektrienergia segajäägi eriheide 2022</t>
  </si>
  <si>
    <t>Elering 2024. Elektrienergia segajäägi eriheide 2023</t>
  </si>
  <si>
    <t>Sisestage ise vastava aasta segajäägi eriheitetegur, mis avaldatakse iga aasta juunis eelmise aasta kohta lehel https://elering.ee/segajaak</t>
  </si>
  <si>
    <t xml:space="preserve">M2 - Sisseostetud soojusenergia </t>
  </si>
  <si>
    <t>Kaugkütte võrgupiirkond - Tallinn</t>
  </si>
  <si>
    <t>Tallinn</t>
  </si>
  <si>
    <r>
      <t>kg CO</t>
    </r>
    <r>
      <rPr>
        <vertAlign val="subscript"/>
        <sz val="10"/>
        <rFont val="Calibri"/>
        <family val="2"/>
        <scheme val="minor"/>
      </rPr>
      <t xml:space="preserve">2 </t>
    </r>
    <r>
      <rPr>
        <sz val="10"/>
        <rFont val="Calibri"/>
        <family val="2"/>
        <scheme val="minor"/>
      </rPr>
      <t>ekv/kWh</t>
    </r>
  </si>
  <si>
    <r>
      <t>kg CO</t>
    </r>
    <r>
      <rPr>
        <vertAlign val="subscript"/>
        <sz val="10"/>
        <color theme="1"/>
        <rFont val="Calibri"/>
        <family val="2"/>
        <scheme val="minor"/>
      </rPr>
      <t xml:space="preserve">2 </t>
    </r>
    <r>
      <rPr>
        <sz val="10"/>
        <color theme="1"/>
        <rFont val="Calibri"/>
        <family val="2"/>
        <scheme val="minor"/>
      </rPr>
      <t>ekv/kWh</t>
    </r>
  </si>
  <si>
    <t>Sisestage ise vastava aasta kaugkütte eriheitetegur, mis avaldatakse AS Utilitase iseteenindusportaalis</t>
  </si>
  <si>
    <t>Kaugkütte võrgupiirkond - Tartu</t>
  </si>
  <si>
    <t>Sisestage ise vastava aasta kaugkütte eriheitetegur, mis avaldatakse AS Gren kodulehel https://gren.com/ee/soojuse-tootmise-naitajad/</t>
  </si>
  <si>
    <t>Kaugkütte võrgupiirkond - Pärnu</t>
  </si>
  <si>
    <t>Pärnu</t>
  </si>
  <si>
    <t>Oma keskküttekatla (lokaalkütte) kütuseliik</t>
  </si>
  <si>
    <t>Biomass/puit</t>
  </si>
  <si>
    <t>KHG inventuuri aruanne 2022, arvestuslik katla kasutegur 90%</t>
  </si>
  <si>
    <t>KHG inventuuri aruanne 2023, arvestuslik katla kasutegur 90%</t>
  </si>
  <si>
    <t>KHG inventuuri aruanne 2024, arvestuslik katla kasutegur 90%</t>
  </si>
  <si>
    <t>KHG inventuuri aruanne 2025</t>
  </si>
  <si>
    <t>KHG inventuuri aruanne 2026</t>
  </si>
  <si>
    <t>KHG inventuuri aruanne 2027</t>
  </si>
  <si>
    <t>KHG inventuuri aruanne 2028</t>
  </si>
  <si>
    <t>Freesturvas</t>
  </si>
  <si>
    <t>Kerge kütteõli</t>
  </si>
  <si>
    <t>Maagaas</t>
  </si>
  <si>
    <t>Põlevkiviõli raske fraktsioon</t>
  </si>
  <si>
    <t>M1 - Sõidukikütused, M2 - Elekter</t>
  </si>
  <si>
    <t>Kütuseliik/elekter</t>
  </si>
  <si>
    <t>Bensiin, kaubik (l)</t>
  </si>
  <si>
    <r>
      <t>kg CO</t>
    </r>
    <r>
      <rPr>
        <vertAlign val="subscript"/>
        <sz val="10"/>
        <color theme="1"/>
        <rFont val="Calibri"/>
        <family val="2"/>
        <scheme val="minor"/>
      </rPr>
      <t>2</t>
    </r>
    <r>
      <rPr>
        <sz val="10"/>
        <color theme="1"/>
        <rFont val="Calibri"/>
        <family val="2"/>
        <scheme val="minor"/>
      </rPr>
      <t xml:space="preserve"> ekv/l</t>
    </r>
  </si>
  <si>
    <t>KHG inventuuri aruanne 2022, kütteväärtus ~31,82 MJ/l</t>
  </si>
  <si>
    <t>KHG inventuuri aruanne 2023, kütteväärtus ~31,82 MJ/l</t>
  </si>
  <si>
    <t>KHG inventuuri aruanne 2024, kütteväärtus ~31,82 MJ/l</t>
  </si>
  <si>
    <t>Bensiin, sõiduauto (l)</t>
  </si>
  <si>
    <t>Bio-CNG, sõiduauto (kg)</t>
  </si>
  <si>
    <r>
      <t>kg CO</t>
    </r>
    <r>
      <rPr>
        <vertAlign val="subscript"/>
        <sz val="10"/>
        <color theme="1"/>
        <rFont val="Calibri"/>
        <family val="2"/>
        <scheme val="minor"/>
      </rPr>
      <t>2</t>
    </r>
    <r>
      <rPr>
        <sz val="10"/>
        <color theme="1"/>
        <rFont val="Calibri"/>
        <family val="2"/>
        <scheme val="minor"/>
      </rPr>
      <t xml:space="preserve"> ekv/kg</t>
    </r>
  </si>
  <si>
    <t>KHG inventuuri aruanne 2022, kütteväärtus 49 MJ/kg</t>
  </si>
  <si>
    <t>KHG inventuuri aruanne 2023, kütteväärtus 49 MJ/kg</t>
  </si>
  <si>
    <t>KHG inventuuri aruanne 2024, kütteväärtus 49 MJ/kg</t>
  </si>
  <si>
    <t>Diisel, buss (l)</t>
  </si>
  <si>
    <r>
      <t>kg CO</t>
    </r>
    <r>
      <rPr>
        <vertAlign val="subscript"/>
        <sz val="10"/>
        <rFont val="Calibri"/>
        <family val="2"/>
        <scheme val="minor"/>
      </rPr>
      <t>2</t>
    </r>
    <r>
      <rPr>
        <sz val="10"/>
        <rFont val="Calibri"/>
        <family val="2"/>
        <scheme val="minor"/>
      </rPr>
      <t xml:space="preserve"> ekv/l</t>
    </r>
  </si>
  <si>
    <t>KHG inventuuri aruanne 2022, kütteväärtus ~35,69 MJ/l</t>
  </si>
  <si>
    <t>KHG inventuuri aruanne 2023, kütteväärtus ~35,69 MJ/l</t>
  </si>
  <si>
    <t>KHG inventuuri aruanne 2024, kütteväärtus ~35,69 MJ/l</t>
  </si>
  <si>
    <t>Diisel, kaubik (l)</t>
  </si>
  <si>
    <t>Diisel, sõiduauto (l)</t>
  </si>
  <si>
    <t>Maagaas (CNG), sõiduauto (kg)</t>
  </si>
  <si>
    <t>Sõiduvahend (taastuvelekter)</t>
  </si>
  <si>
    <r>
      <t>kg CO</t>
    </r>
    <r>
      <rPr>
        <vertAlign val="subscript"/>
        <sz val="10"/>
        <color theme="1"/>
        <rFont val="Calibri"/>
        <family val="2"/>
        <scheme val="minor"/>
      </rPr>
      <t>2</t>
    </r>
    <r>
      <rPr>
        <sz val="10"/>
        <color theme="1"/>
        <rFont val="Calibri"/>
        <family val="2"/>
        <scheme val="minor"/>
      </rPr>
      <t xml:space="preserve"> ekv/kWh</t>
    </r>
  </si>
  <si>
    <t>CoM Default Emission Factors for the Member States of the European Union Dataset Version 2016</t>
  </si>
  <si>
    <t>Sõiduvahend (tavaelekter)</t>
  </si>
  <si>
    <t>Elering 2025. Elektrienergia segajäägi eriheide 2024</t>
  </si>
  <si>
    <t>Elering 2026. Elektrienergia segajäägi eriheide 2025</t>
  </si>
  <si>
    <t>Elering 2027. Elektrienergia segajäägi eriheide 2026</t>
  </si>
  <si>
    <t>Elering 2028. Elektrienergia segajäägi eriheide 2027</t>
  </si>
  <si>
    <t>M1 - Hajusheitmed</t>
  </si>
  <si>
    <t>F-gaas</t>
  </si>
  <si>
    <t xml:space="preserve">Globaalse </t>
  </si>
  <si>
    <t xml:space="preserve">soojenemise </t>
  </si>
  <si>
    <t>potentsiaal</t>
  </si>
  <si>
    <t>R-134a (HFC-134a)</t>
  </si>
  <si>
    <t>IPCC AR5 (GWP-100)</t>
  </si>
  <si>
    <t>R-404A</t>
  </si>
  <si>
    <t>R-407A</t>
  </si>
  <si>
    <t>R-407C</t>
  </si>
  <si>
    <t>R-407F</t>
  </si>
  <si>
    <t>R-410A</t>
  </si>
  <si>
    <t>R-417A</t>
  </si>
  <si>
    <t>R-422A</t>
  </si>
  <si>
    <t>R-422D</t>
  </si>
  <si>
    <t>R-427A</t>
  </si>
  <si>
    <t>R-507A</t>
  </si>
  <si>
    <t>https://klab.ee/f-gaasid/juhendid/jahutus-ja-kliimaseadmete-ning-soojuspumpade-kaitlejale/oluline-teada-paiksed-jahutusseadmed/#ftn2</t>
  </si>
  <si>
    <t>M3 - Tööreisid, tööle-koju liikumine</t>
  </si>
  <si>
    <t>Sõidukiliik</t>
  </si>
  <si>
    <t>Sõiduauto, keskmise suurusega (bensiin)</t>
  </si>
  <si>
    <r>
      <t>kg CO</t>
    </r>
    <r>
      <rPr>
        <vertAlign val="subscript"/>
        <sz val="10"/>
        <color theme="1"/>
        <rFont val="Calibri"/>
        <family val="2"/>
        <scheme val="minor"/>
      </rPr>
      <t>2</t>
    </r>
    <r>
      <rPr>
        <sz val="10"/>
        <color theme="1"/>
        <rFont val="Calibri"/>
        <family val="2"/>
        <scheme val="minor"/>
      </rPr>
      <t xml:space="preserve"> ekv/km</t>
    </r>
  </si>
  <si>
    <t>KHG inventuuri aruanne 2022</t>
  </si>
  <si>
    <t>KHG inventuuri aruanne 2023</t>
  </si>
  <si>
    <t>KHG inventuuri aruanne 2024</t>
  </si>
  <si>
    <t>Sõiduauto, keskmise suurusega (diisel)</t>
  </si>
  <si>
    <t>Sõiduauto (bio-CNG)</t>
  </si>
  <si>
    <t>Eeldus: keskmise sõiduauto gaasitarbimine on 0,057 kg/km ning kasutades sõiduauto bio-CNG eriheitetegurit kg kohta</t>
  </si>
  <si>
    <t>Sõiduauto (maagaas CNG)</t>
  </si>
  <si>
    <t>Sõiduauto, keskmise suurusega (hübriid: bensiin/elekter - keskmine)</t>
  </si>
  <si>
    <r>
      <t>kg CO</t>
    </r>
    <r>
      <rPr>
        <vertAlign val="subscript"/>
        <sz val="10"/>
        <rFont val="Calibri"/>
        <family val="2"/>
        <scheme val="minor"/>
      </rPr>
      <t>2</t>
    </r>
    <r>
      <rPr>
        <sz val="10"/>
        <rFont val="Calibri"/>
        <family val="2"/>
        <scheme val="minor"/>
      </rPr>
      <t xml:space="preserve"> ekv/km</t>
    </r>
  </si>
  <si>
    <t>Sõiduauto (taastuvelekter)</t>
  </si>
  <si>
    <t xml:space="preserve">CoM 2017 </t>
  </si>
  <si>
    <t>Sõiduauto (tavaelekter)</t>
  </si>
  <si>
    <t>Keskmine elektritarbimine: 0,2 kWh/km (Electric Vehicle Database), elektrienergia segajäägi eriheitetegur</t>
  </si>
  <si>
    <t>Takso, keskmine</t>
  </si>
  <si>
    <t>Bensiini- ja diiselmootoriga sõiduautode keskmine eriheitetegur, KHG inventuuri aruanne 2023</t>
  </si>
  <si>
    <t>Bensiini- ja diiselmootoriga sõiduautode keskmine eriheitetegur, KHG inventuuri aruanne 2024</t>
  </si>
  <si>
    <t>Bensiini- ja diiselmootoriga sõiduautode keskmine eriheitetegur, KHG inventuuri aruanne 2025</t>
  </si>
  <si>
    <t>Bensiini- ja diiselmootoriga sõiduautode keskmine eriheitetegur, KHG inventuuri aruanne 2026</t>
  </si>
  <si>
    <t>Bensiini- ja diiselmootoriga sõiduautode keskmine eriheitetegur, KHG inventuuri aruanne 2027</t>
  </si>
  <si>
    <t>Bensiini- ja diiselmootoriga sõiduautode keskmine eriheitetegur, KHG inventuuri aruanne 2028</t>
  </si>
  <si>
    <t>Buss, kaugliin (Eesti ja rahvusvaheline)</t>
  </si>
  <si>
    <r>
      <t>kg CO</t>
    </r>
    <r>
      <rPr>
        <vertAlign val="subscript"/>
        <sz val="10"/>
        <rFont val="Calibri"/>
        <family val="2"/>
        <scheme val="minor"/>
      </rPr>
      <t>2</t>
    </r>
    <r>
      <rPr>
        <sz val="10"/>
        <rFont val="Calibri"/>
        <family val="2"/>
        <scheme val="minor"/>
      </rPr>
      <t xml:space="preserve"> ekv/sõitja-km</t>
    </r>
  </si>
  <si>
    <t>Statistikaameti andmed 2021, KHG inventuuri aruanne 2022 (diiselbussi eriheitetegur)</t>
  </si>
  <si>
    <r>
      <t>kg CO</t>
    </r>
    <r>
      <rPr>
        <vertAlign val="subscript"/>
        <sz val="10"/>
        <color theme="1"/>
        <rFont val="Calibri"/>
        <family val="2"/>
        <scheme val="minor"/>
      </rPr>
      <t>2</t>
    </r>
    <r>
      <rPr>
        <sz val="10"/>
        <color theme="1"/>
        <rFont val="Calibri"/>
        <family val="2"/>
        <scheme val="minor"/>
      </rPr>
      <t xml:space="preserve"> ekv/sõitja-km</t>
    </r>
  </si>
  <si>
    <t>Statistikaameti andmed 2022, KHG inventuuri aruanne 2023 (diiselbussi eriheitetegur)</t>
  </si>
  <si>
    <t>Statistikaameti andmed 2023, KHG inventuuri aruanne 2024 (diiselbussi eriheitetegur)</t>
  </si>
  <si>
    <t>Statistikaameti andmed 2024, KHG inventuuri aruanne 2025 (diiselbussi eriheitetegur)</t>
  </si>
  <si>
    <t>Statistikaameti andmed 2025, KHG inventuuri aruanne 2026 (diiselbussi eriheitetegur)</t>
  </si>
  <si>
    <t>Statistikaameti andmed 2026, KHG inventuuri aruanne 2027 (diiselbussi eriheitetegur)</t>
  </si>
  <si>
    <t>Statistikaameti andmed 2027, KHG inventuuri aruanne 2028 (diiselbussi eriheitetegur)</t>
  </si>
  <si>
    <t>Buss, linnaliin (Eesti)</t>
  </si>
  <si>
    <t>Statistikaameti andmed 2021, KHG inventuuri aruanne 2022 (diisel- ja CNG-busside eriheitetegurid)</t>
  </si>
  <si>
    <t>Statistikaameti andmed 2022, KHG inventuuri aruanne 2023 (diisel- ja CNG-busside eriheitetegurid)</t>
  </si>
  <si>
    <t>Statistikaameti andmed 2023, KHG inventuuri aruanne 2024 (diisel- ja CNG-busside eriheitetegurid)</t>
  </si>
  <si>
    <t>Statistikaameti andmed 2024, KHG inventuuri aruanne 2025 (diisel- ja CNG-busside eriheitetegurid)</t>
  </si>
  <si>
    <t>Statistikaameti andmed 2025, KHG inventuuri aruanne 2026 (diisel- ja CNG-busside eriheitetegurid)</t>
  </si>
  <si>
    <t>Statistikaameti andmed 2026, KHG inventuuri aruanne 2027 (diisel- ja CNG-busside eriheitetegurid)</t>
  </si>
  <si>
    <t>Statistikaameti andmed 2027, KHG inventuuri aruanne 2028 (diisel- ja CNG-busside eriheitetegurid)</t>
  </si>
  <si>
    <t>Buss, linnaliin (Tallinn)</t>
  </si>
  <si>
    <t>AS TLT Tallinna linnaliinibusside andmed 2021 (diisel- ja gaasibusside keskmine), KHG inventuuri aruanne 2022 (diisel-, CNG- ja bio-CNG-busside eriheitetegurid)</t>
  </si>
  <si>
    <t>AS TLT Tallinna linnaliinibusside andmed 2022 (diisel- ja gaasibusside keskmine), KHG inventuuri aruanne 2023 (diisel-, CNG- ja bio-CNG-busside eriheitetegurid)</t>
  </si>
  <si>
    <t>AS TLT Tallinna linnaliinibusside andmed 2023 (diisel- ja gaasibusside keskmine), KHG inventuuri aruanne 2024 (diisel-, CNG- ja bio-CNG-busside eriheitetegurid)</t>
  </si>
  <si>
    <t>AS TLT Tallinna linnaliinibusside andmed 2024 (diisel- ja gaasibusside keskmine), KHG inventuuri aruanne 2025 (diisel-, CNG- ja bio-CNG-busside eriheitetegurid)</t>
  </si>
  <si>
    <t>AS TLT Tallinna linnaliinibusside andmed 2025 (diisel- ja gaasibusside keskmine), KHG inventuuri aruanne 2026 (diisel-, CNG- ja bio-CNG-busside eriheitetegurid)</t>
  </si>
  <si>
    <t>AS TLT Tallinna linnaliinibusside andmed 2026 (diisel- ja gaasibusside keskmine), KHG inventuuri aruanne 2027 (diisel-, CNG- ja bio-CNG-busside eriheitetegurid)</t>
  </si>
  <si>
    <t>AS TLT Tallinna linnaliinibusside andmed 2027 (diisel- ja gaasibusside keskmine), KHG inventuuri aruanne 2028 (diisel-, CNG- ja bio-CNG-busside eriheitetegurid)</t>
  </si>
  <si>
    <t>Buss, maakonnaliin</t>
  </si>
  <si>
    <t>Rong, Eesti linnalähirong (elektrirong)</t>
  </si>
  <si>
    <t>Rong, Eesti-sisene kaugliin (diiselrong)</t>
  </si>
  <si>
    <t>AS Elroni andmed 2021, KHG inventuuri aruanne 2022 (rongidiisli eriheitetegur)</t>
  </si>
  <si>
    <t>AS Elroni andmed 2022, KHG inventuuri aruanne 2023 (rongidiisli eriheitetegur)</t>
  </si>
  <si>
    <t>AS Elroni andmed 2023, KHG inventuuri aruanne 2024 (rongidiisli eriheitetegur)</t>
  </si>
  <si>
    <t>AS Elroni andmed 2024, KHG inventuuri aruanne 2025 (rongidiisli eriheitetegur)</t>
  </si>
  <si>
    <t>AS Elroni andmed 2025, KHG inventuuri aruanne 2026 (rongidiisli eriheitetegur)</t>
  </si>
  <si>
    <t>AS Elroni andmed 2026, KHG inventuuri aruanne 2027 (rongidiisli eriheitetegur)</t>
  </si>
  <si>
    <t>AS Elroni andmed 2027, KHG inventuuri aruanne 2028 (rongidiisli eriheitetegur)</t>
  </si>
  <si>
    <t>Parvlaev, reisi-kaubalaev (nt Tallinn-Helsingi/Stockholm)</t>
  </si>
  <si>
    <t>UK Government GHG Conversion Factors for Company Reporting 2022, ferry, foot passenger</t>
  </si>
  <si>
    <t>UK Government GHG Conversion Factors for Company Reporting 2023, ferry, foot passenger</t>
  </si>
  <si>
    <t>UK Government GHG Conversion Factors for Company Reporting 2024, ferry, foot passenger</t>
  </si>
  <si>
    <t>UK Government GHG Conversion Factors for Company Reporting 2025, ferry, foot passenger</t>
  </si>
  <si>
    <t>UK Government GHG Conversion Factors for Company Reporting 2026, ferry, foot passenger</t>
  </si>
  <si>
    <t>UK Government GHG Conversion Factors for Company Reporting 2027, ferry, foot passenger</t>
  </si>
  <si>
    <t>UK Government GHG Conversion Factors for Company Reporting 2028, ferry, foot passenger</t>
  </si>
  <si>
    <t>Lennuk, Euroopa-sisene lend (kuni 3700 km), keskmine</t>
  </si>
  <si>
    <r>
      <t>kg CO</t>
    </r>
    <r>
      <rPr>
        <vertAlign val="subscript"/>
        <sz val="10"/>
        <rFont val="Cambria"/>
        <family val="1"/>
      </rPr>
      <t xml:space="preserve">2 </t>
    </r>
    <r>
      <rPr>
        <sz val="10"/>
        <rFont val="Cambria"/>
        <family val="1"/>
      </rPr>
      <t>ekv/sõitja-km</t>
    </r>
  </si>
  <si>
    <t>UK Government GHG Conversion Factors for Company Reporting 2022, short-haul, average passenger</t>
  </si>
  <si>
    <t>UK Government GHG Conversion Factors for Company Reporting 2023, short-haul, average passenger</t>
  </si>
  <si>
    <t>UK Government GHG Conversion Factors for Company Reporting 2024, short-haul, average passenger</t>
  </si>
  <si>
    <t>UK Government GHG Conversion Factors for Company Reporting 2025, short-haul, average passenger</t>
  </si>
  <si>
    <t>UK Government GHG Conversion Factors for Company Reporting 2026, short-haul, average passenger</t>
  </si>
  <si>
    <t>UK Government GHG Conversion Factors for Company Reporting 2027, short-haul, average passenger</t>
  </si>
  <si>
    <t>UK Government GHG Conversion Factors for Company Reporting 2028, short-haul, average passenger</t>
  </si>
  <si>
    <t>Tramm, troll (Eesti)</t>
  </si>
  <si>
    <t>kg CO2 ekv/km</t>
  </si>
  <si>
    <t>Elektrijalgratas/-tõukeratas (tavaelekter)</t>
  </si>
  <si>
    <t>Keskmine elektritarbimine: 0,0124 kWh/km (elektrijalgratta tootja ja elektritõukejalgratta tootja andmed), elektrienergia segajäägi eriheitetegur</t>
  </si>
  <si>
    <t>Elektrijalgratas/-tõukeratas, sh sõidujagamisplatvormidelt (taastuvelekter)</t>
  </si>
  <si>
    <t>Jalgsi liikumine</t>
  </si>
  <si>
    <t>‒</t>
  </si>
  <si>
    <t>M3 - Sisseostetud transporditeenus</t>
  </si>
  <si>
    <t>Kaubik (bensiin), km</t>
  </si>
  <si>
    <t>Kaubik (bensiin), tonn-km</t>
  </si>
  <si>
    <r>
      <t>kg CO</t>
    </r>
    <r>
      <rPr>
        <vertAlign val="subscript"/>
        <sz val="10"/>
        <color theme="1"/>
        <rFont val="Calibri"/>
        <family val="2"/>
        <scheme val="minor"/>
      </rPr>
      <t>2</t>
    </r>
    <r>
      <rPr>
        <sz val="10"/>
        <color theme="1"/>
        <rFont val="Calibri"/>
        <family val="2"/>
        <scheme val="minor"/>
      </rPr>
      <t xml:space="preserve"> ekv/tonn-km</t>
    </r>
  </si>
  <si>
    <t>Arvestuslik keskmine koormakaal 1,2 t (LIPASTO arvutusvalem)</t>
  </si>
  <si>
    <t>Kaubik (diisel), km</t>
  </si>
  <si>
    <t>Kaubik (diisel), tonn-km</t>
  </si>
  <si>
    <t>Kaubik (taastuvelekter), km</t>
  </si>
  <si>
    <t>Kaubik (taastuvelekter), tonn-km</t>
  </si>
  <si>
    <t>Kaubik (tavaelekter), km</t>
  </si>
  <si>
    <t>Elektrikaubikute keskmine elektritarbimine 0,25 kWh/km (Volkswagen e-Crafter), elektrienergia segajäägi eriheitetegur</t>
  </si>
  <si>
    <t>Kaubik (tavaelekter), tonn-km</t>
  </si>
  <si>
    <t>Elektrikaubikute keskmise elektritarbimise alusel, arvestuslik keskmine koormakaal 1,2 t</t>
  </si>
  <si>
    <t>Buss</t>
  </si>
  <si>
    <t>Bussiteenuse pakkujad (keskmine kütusekulu l/km, maakondlik liin), KHG inventuuri aruanne 2022 (diiselbussi eriheitetegur)</t>
  </si>
  <si>
    <t>Bussiteenuse pakkujad (keskmine kütusekulu l/km, maakondlik liin), KHG inventuuri aruanne 2023 (diiselbussi eriheitetegur)</t>
  </si>
  <si>
    <t>Bussiteenuse pakkujad (keskmine kütusekulu l/km, maakondlik liin), KHG inventuuri aruanne 2024 (diiselbussi eriheitetegur)</t>
  </si>
  <si>
    <t>Bussiteenuse pakkujad (keskmine kütusekulu l/km, maakondlik liin), KHG inventuuri aruanne 2025 (diiselbussi eriheitetegur)</t>
  </si>
  <si>
    <t>Bussiteenuse pakkujad (keskmine kütusekulu l/km, maakondlik liin), KHG inventuuri aruanne 2026 (diiselbussi eriheitetegur)</t>
  </si>
  <si>
    <t>Bussiteenuse pakkujad (keskmine kütusekulu l/km, maakondlik liin), KHG inventuuri aruanne 2027 (diiselbussi eriheitetegur)</t>
  </si>
  <si>
    <t>Bussiteenuse pakkujad (keskmine kütusekulu l/km, maakondlik liin), KHG inventuuri aruanne 2028 (diiselbussi eriheitetegur)</t>
  </si>
  <si>
    <t>Väikebuss</t>
  </si>
  <si>
    <t>KHG inventuuri aruanne 2022, kaubiku bensiini ja diisli kaalutud keskmine eriheitetegur km kohta</t>
  </si>
  <si>
    <t>KHG inventuuri aruanne 2023, kaubiku bensiini ja diisli kaalutud keskmine eriheitetegur km kohta</t>
  </si>
  <si>
    <t>KHG inventuuri aruanne 2024, kaubiku bensiini ja diisli kaalutud keskmine eriheitetegur km kohta</t>
  </si>
  <si>
    <t>KHG inventuuri aruanne 2025, kaubiku bensiini ja diisli kaalutud keskmine eriheitetegur km kohta</t>
  </si>
  <si>
    <t>KHG inventuuri aruanne 2026, kaubiku bensiini ja diisli kaalutud keskmine eriheitetegur km kohta</t>
  </si>
  <si>
    <t>KHG inventuuri aruanne 2027, kaubiku bensiini ja diisli kaalutud keskmine eriheitetegur km kohta</t>
  </si>
  <si>
    <t>KHG inventuuri aruanne 2028, kaubiku bensiini ja diisli kaalutud keskmine eriheitetegur km kohta</t>
  </si>
  <si>
    <t>M3 - Vee- ja materjalikasutus</t>
  </si>
  <si>
    <t>Vesi ja paber</t>
  </si>
  <si>
    <t>Vesi (joogivee ja reovee puhastus)</t>
  </si>
  <si>
    <r>
      <t>kg CO</t>
    </r>
    <r>
      <rPr>
        <vertAlign val="subscript"/>
        <sz val="10"/>
        <color theme="1"/>
        <rFont val="Calibri"/>
        <family val="2"/>
        <scheme val="minor"/>
      </rPr>
      <t>2</t>
    </r>
    <r>
      <rPr>
        <sz val="10"/>
        <color theme="1"/>
        <rFont val="Calibri"/>
        <family val="2"/>
        <scheme val="minor"/>
      </rPr>
      <t xml:space="preserve"> ekv/m</t>
    </r>
    <r>
      <rPr>
        <vertAlign val="superscript"/>
        <sz val="10"/>
        <color theme="1"/>
        <rFont val="Calibri"/>
        <family val="2"/>
        <scheme val="minor"/>
      </rPr>
      <t>3</t>
    </r>
  </si>
  <si>
    <t>Kontoripaber</t>
  </si>
  <si>
    <t>UK Government GHG Conversion Factors for Company Reporting 2022, paper and board: paper, closed-loop source</t>
  </si>
  <si>
    <t>UK Government GHG Conversion Factors for Company Reporting 2023, paper and board: paper, closed-loop source</t>
  </si>
  <si>
    <t>UK Government GHG Conversion Factors for Company Reporting 2024, paper and board: paper, closed-loop source</t>
  </si>
  <si>
    <t>UK Government GHG Conversion Factors for Company Reporting 2025, paper and board: paper, closed-loop source</t>
  </si>
  <si>
    <t>UK Government GHG Conversion Factors for Company Reporting 2026, paper and board: paper, closed-loop source</t>
  </si>
  <si>
    <t>UK Government GHG Conversion Factors for Company Reporting 2027, paper and board: paper, closed-loop source</t>
  </si>
  <si>
    <t>UK Government GHG Conversion Factors for Company Reporting 2028, paper and board: paper, closed-loop source</t>
  </si>
  <si>
    <t>Lehträtik</t>
  </si>
  <si>
    <r>
      <t>kg CO</t>
    </r>
    <r>
      <rPr>
        <vertAlign val="subscript"/>
        <sz val="10"/>
        <color theme="1"/>
        <rFont val="Calibri"/>
        <family val="2"/>
        <scheme val="minor"/>
      </rPr>
      <t>2</t>
    </r>
    <r>
      <rPr>
        <sz val="10"/>
        <color theme="1"/>
        <rFont val="Calibri"/>
        <family val="2"/>
        <scheme val="minor"/>
      </rPr>
      <t xml:space="preserve"> ekv/leht</t>
    </r>
  </si>
  <si>
    <t>Toodete 344471 Katrin Classic Hand Towel (https://www.katrinsolutions.com/baltic/consumption_calculator) ja H2 Tork Xpress® Multifold (https://www.tork.com.ee/product/471103/taide/paberratik) keskmine eriheitetegur</t>
  </si>
  <si>
    <t>Tualettpaber</t>
  </si>
  <si>
    <r>
      <t>kg CO</t>
    </r>
    <r>
      <rPr>
        <vertAlign val="subscript"/>
        <sz val="10"/>
        <color theme="1"/>
        <rFont val="Calibri"/>
        <family val="2"/>
        <scheme val="minor"/>
      </rPr>
      <t>2</t>
    </r>
    <r>
      <rPr>
        <sz val="10"/>
        <color theme="1"/>
        <rFont val="Calibri"/>
        <family val="2"/>
        <scheme val="minor"/>
      </rPr>
      <t xml:space="preserve"> ekv/m</t>
    </r>
  </si>
  <si>
    <t>Toodete 106252 Katrin Classic Gigant Toilet M2 (https://www.katrinsolutions.com/baltic/consumption_calculator) ja Tork T8/T9 SmartOne® (https://www.tork.com.ee/product/472193/taide/tualettpaber) keskmine eriheitetegur</t>
  </si>
  <si>
    <t>M3 - Jäätmed</t>
  </si>
  <si>
    <t>Jäätmeliik</t>
  </si>
  <si>
    <t>Liigiti kogutud biojäätmed</t>
  </si>
  <si>
    <r>
      <t>kg CO</t>
    </r>
    <r>
      <rPr>
        <vertAlign val="subscript"/>
        <sz val="10"/>
        <color theme="1"/>
        <rFont val="Calibri"/>
        <family val="2"/>
        <scheme val="minor"/>
      </rPr>
      <t>2</t>
    </r>
    <r>
      <rPr>
        <sz val="10"/>
        <color theme="1"/>
        <rFont val="Calibri"/>
        <family val="2"/>
        <scheme val="minor"/>
      </rPr>
      <t xml:space="preserve"> ekv/t</t>
    </r>
  </si>
  <si>
    <t>Eeldused: jäätmeveoki kütusekulu 0,39 l/km, kogumisringi pikkus keskmiselt 250 km, keskmine koorma kaal 9 t, raskeveoki (diisel) eriheitetegur - KHG inventuuri aruanne 2023</t>
  </si>
  <si>
    <t>Liigiti kogutud klaaspakend</t>
  </si>
  <si>
    <t>Liigiti kogutud paber ja kartong</t>
  </si>
  <si>
    <t>Liigiti kogutud segapakend</t>
  </si>
  <si>
    <t>Segaolmejäätmed, prügilasse ladestamine</t>
  </si>
  <si>
    <t xml:space="preserve">Arvutatud olelusringi hindamise mudeliga WAMPS (sisaldab nii segaolmejäätmete kogumise kui ladestamisega seotud KHG heiteid) </t>
  </si>
  <si>
    <t>Segaolmejäätmed, põletamine</t>
  </si>
  <si>
    <t>TalTech, SEI Tallinn 2019, raskeveoki (diisel) eriheitetegur - KHG inventuuri aruanne 2023</t>
  </si>
  <si>
    <t>M3 - Kodukontor</t>
  </si>
  <si>
    <t>Kodukontori elektritarbimine</t>
  </si>
  <si>
    <t>Väärtus</t>
  </si>
  <si>
    <t>Keskmine töökoha elektritarbimine (süle- või lauaarvuti, monitor, telefon ja printer)</t>
  </si>
  <si>
    <t>W</t>
  </si>
  <si>
    <t>EcoAct 2020, Homeworking emissions Whitepaper</t>
  </si>
  <si>
    <t>Valgustus</t>
  </si>
  <si>
    <t>Paberi kaal</t>
  </si>
  <si>
    <t>A0</t>
  </si>
  <si>
    <t>A4 (80 g/m²)</t>
  </si>
  <si>
    <t>Kaugkütte võrgupiirkonna rippmenüü:</t>
  </si>
  <si>
    <t>Muu</t>
  </si>
  <si>
    <t>Oma keskküttekatla kütuseliigi rippmenüü:</t>
  </si>
  <si>
    <t>Kütteõli</t>
  </si>
  <si>
    <t>Põlevkiviõli</t>
  </si>
  <si>
    <t>kg CO2 ekv/kWh</t>
  </si>
  <si>
    <t>kg CO2/kWh</t>
  </si>
  <si>
    <r>
      <t>kg CO</t>
    </r>
    <r>
      <rPr>
        <vertAlign val="subscript"/>
        <sz val="10"/>
        <color theme="1"/>
        <rFont val="Aptos Narrow"/>
        <family val="2"/>
      </rPr>
      <t>2</t>
    </r>
    <r>
      <rPr>
        <sz val="10"/>
        <color theme="1"/>
        <rFont val="Aptos Narrow"/>
        <family val="2"/>
      </rPr>
      <t>/kWh</t>
    </r>
  </si>
  <si>
    <t>AS Utilitas 2024. CO₂ heitetegur 2023</t>
  </si>
  <si>
    <t>AS Utilitas 2025. CO₂ heitetegur 2024</t>
  </si>
  <si>
    <t>AS Utilitas 2023. CO₂ heitetegur 2022</t>
  </si>
  <si>
    <t>AS Utilitas 2022. CO₂ heitetegur 2021</t>
  </si>
  <si>
    <r>
      <t>AS Gren 2025. CO</t>
    </r>
    <r>
      <rPr>
        <vertAlign val="subscript"/>
        <sz val="10"/>
        <color theme="1"/>
        <rFont val="Calibri"/>
        <family val="2"/>
        <charset val="186"/>
        <scheme val="minor"/>
      </rPr>
      <t>2</t>
    </r>
    <r>
      <rPr>
        <sz val="10"/>
        <color theme="1"/>
        <rFont val="Calibri"/>
        <family val="2"/>
        <scheme val="minor"/>
      </rPr>
      <t xml:space="preserve"> heide müüdud soojuse kohta 2024</t>
    </r>
  </si>
  <si>
    <r>
      <t>AS Gren 2024. CO</t>
    </r>
    <r>
      <rPr>
        <vertAlign val="subscript"/>
        <sz val="10"/>
        <color theme="1"/>
        <rFont val="Calibri"/>
        <family val="2"/>
        <charset val="186"/>
        <scheme val="minor"/>
      </rPr>
      <t>2</t>
    </r>
    <r>
      <rPr>
        <sz val="10"/>
        <color theme="1"/>
        <rFont val="Calibri"/>
        <family val="2"/>
        <scheme val="minor"/>
      </rPr>
      <t xml:space="preserve"> heide müüdud soojuse kohta 2023</t>
    </r>
  </si>
  <si>
    <r>
      <t>AS Gren 2023. CO</t>
    </r>
    <r>
      <rPr>
        <vertAlign val="subscript"/>
        <sz val="10"/>
        <color theme="1"/>
        <rFont val="Calibri"/>
        <family val="2"/>
        <charset val="186"/>
        <scheme val="minor"/>
      </rPr>
      <t>2</t>
    </r>
    <r>
      <rPr>
        <sz val="10"/>
        <color theme="1"/>
        <rFont val="Calibri"/>
        <family val="2"/>
        <scheme val="minor"/>
      </rPr>
      <t xml:space="preserve"> heide müüdud soojuse kohta 2022</t>
    </r>
  </si>
  <si>
    <r>
      <t>AS Gren 2022. CO</t>
    </r>
    <r>
      <rPr>
        <vertAlign val="subscript"/>
        <sz val="10"/>
        <color theme="1"/>
        <rFont val="Calibri"/>
        <family val="2"/>
        <charset val="186"/>
        <scheme val="minor"/>
      </rPr>
      <t>2</t>
    </r>
    <r>
      <rPr>
        <sz val="10"/>
        <color theme="1"/>
        <rFont val="Calibri"/>
        <family val="2"/>
        <scheme val="minor"/>
      </rPr>
      <t xml:space="preserve"> heide müüdud soojuse kohta 2021</t>
    </r>
  </si>
  <si>
    <t>AS Tallinna Vesi 2024. Vee- ja reoveepuhastuse süsiniku jalajälg 2023</t>
  </si>
  <si>
    <t>AS Tallinna Vesi 2025. Vee- ja reoveepuhastuse süsiniku jalajälg 2024</t>
  </si>
  <si>
    <t>AS Tallinna Vesi 2026. Vee- ja reoveepuhastuse süsiniku jalajälg 2025</t>
  </si>
  <si>
    <t>AS Tallinna Vesi 2027. Vee- ja reoveepuhastuse süsiniku jalajälg 2026</t>
  </si>
  <si>
    <t>AS Tallinna Vesi 2028. Vee- ja reoveepuhastuse süsiniku jalajälg 2027</t>
  </si>
  <si>
    <t>AS Tallinna Vesi 2023. Vee- ja reoveepuhastuse süsiniku jalajälg 2022</t>
  </si>
  <si>
    <t>AS Tallinna Vesi 2022. Vee- ja reoveepuhastuse süsiniku jalajälg 2021</t>
  </si>
  <si>
    <t>Bensiini- ja diiselmootoriga sõiduautode keskmine eriheitetegur, KHG inventuuri aruanne 2022</t>
  </si>
  <si>
    <t>Ettevõtte/organisatsiooni kontoritegevusega seotud KHG jalajälje arvutamiseks sisestage alltoodud tabelisse ettevõttele kuuluvates või liisitud sõidukites (eelkõige kontoritööga seotud sõiduautodes) tarbitud kütuse kogus aastas. Nende sõidukite kütuse tarbimisest tulenev KHG heide arvestatakse mõjuala 1 alla ning sõidukite elektri tarbimisest tulenev heide mõjuala 2 alla.
Eraldi on võimalik arvestada organisatsiooni oma sõidukitega tarbitud bensiini, diisli, biometaani, maagaasi, taastuvelektri ja tavaelektri kogust ning hinnata nende kütuste tarbimisega seotud KHG jalajälge. 
Kui töösõite on tehtud iskliku sõidukiga, mille kasutamist on organisatsioon kompenseerinud, siis nende sõitude KHG heitkogus arvutatakse lehel 'KHG_TÖÖREISID M3' (mõjuala 3).</t>
  </si>
  <si>
    <r>
      <t xml:space="preserve">Siia töölehele sisestage organisatsiooni kontori keskkonnajalajälje arvutamiseks vajalikud üldandmed.
</t>
    </r>
    <r>
      <rPr>
        <b/>
        <i/>
        <sz val="11"/>
        <rFont val="Calibri"/>
        <family val="2"/>
        <scheme val="minor"/>
      </rPr>
      <t>Kontoritöötajate arv kokku</t>
    </r>
    <r>
      <rPr>
        <i/>
        <sz val="11"/>
        <rFont val="Calibri"/>
        <family val="2"/>
        <scheme val="minor"/>
      </rPr>
      <t xml:space="preserve"> </t>
    </r>
    <r>
      <rPr>
        <sz val="11"/>
        <rFont val="Calibri"/>
        <family val="2"/>
      </rPr>
      <t>‒</t>
    </r>
    <r>
      <rPr>
        <i/>
        <sz val="11"/>
        <rFont val="Calibri"/>
        <family val="2"/>
        <scheme val="minor"/>
      </rPr>
      <t xml:space="preserve"> siia alla peaks arvestama kõik organisatsiooni kontoris töötavad inimesed (nii need, kes valdavalt töötavad kontoris kui ka need, kes töötavad kodukontoris, sh osaliselt kodukontoris töötavad inimesed). Kontoritöötajate arv kokku tuleks määratleda täistööaja arvestusega (nt kui kaks inimest töötavad poole tööajaga, siis teeb see arvestuslikult kokku ühe täistööajaga inimese).
</t>
    </r>
    <r>
      <rPr>
        <b/>
        <i/>
        <sz val="11"/>
        <rFont val="Calibri"/>
        <family val="2"/>
        <scheme val="minor"/>
      </rPr>
      <t>Valdavalt kontoris töötavate inimeste arv,</t>
    </r>
    <r>
      <rPr>
        <i/>
        <sz val="11"/>
        <rFont val="Calibri"/>
        <family val="2"/>
        <scheme val="minor"/>
      </rPr>
      <t xml:space="preserve"> taandatud täistööajale ‒ see on vajalik kontoris tarbitud/tekitatud keskkonnaaspektide suhtelise näitaja väljatoomiseks (nt kontori aastane elektrienergia tarbimine töötaja kohta arvutatakse kontoris töötavate inimeste kohta). Kui kontoris töötab suurem osa organisatsiooni töötajatest (nt üle 90%), siis võib märkida kõik töötajad valdavalt kontoris töötavateks. Sellisel juhul näitab allolev tabel automaatselt kodukontoris töötavate inimeste arvuks 0.
</t>
    </r>
    <r>
      <rPr>
        <b/>
        <i/>
        <sz val="11"/>
        <rFont val="Calibri"/>
        <family val="2"/>
        <scheme val="minor"/>
      </rPr>
      <t>Kodukontoris töötavate inimeste arv</t>
    </r>
    <r>
      <rPr>
        <i/>
        <sz val="11"/>
        <rFont val="Calibri"/>
        <family val="2"/>
        <scheme val="minor"/>
      </rPr>
      <t xml:space="preserve"> ‒ arvutatakse automaatselt eelnevate näitajate alusel. Kodukontoris töötavate inimeste arv on vajalik kodukontorites tekitatud keskkonnaaspektide hindamiseks (antud keskkonnajalajälje mudelis piirdub kodukontorite jalajälje arvutus elektritabimisega).
</t>
    </r>
    <r>
      <rPr>
        <b/>
        <i/>
        <sz val="11"/>
        <rFont val="Calibri"/>
        <family val="2"/>
        <scheme val="minor"/>
      </rPr>
      <t>Kodukontoris töötavate inimeste osakaal</t>
    </r>
    <r>
      <rPr>
        <i/>
        <sz val="11"/>
        <rFont val="Calibri"/>
        <family val="2"/>
        <scheme val="minor"/>
      </rPr>
      <t xml:space="preserve"> ‒ arvutatakse automaatselt eelnevate näitajate alusel.
</t>
    </r>
    <r>
      <rPr>
        <b/>
        <i/>
        <sz val="11"/>
        <rFont val="Calibri"/>
        <family val="2"/>
        <scheme val="minor"/>
      </rPr>
      <t>Kontori köetav üldpind</t>
    </r>
    <r>
      <rPr>
        <i/>
        <sz val="11"/>
        <rFont val="Calibri"/>
        <family val="2"/>
        <scheme val="minor"/>
      </rPr>
      <t xml:space="preserve"> ‒ on vajalik soojusenergia (küte) suhtelise näitaja arvutamiseks (kontori aastane soojusenergia tarbimine m</t>
    </r>
    <r>
      <rPr>
        <i/>
        <vertAlign val="superscript"/>
        <sz val="11"/>
        <rFont val="Calibri"/>
        <family val="2"/>
        <scheme val="minor"/>
      </rPr>
      <t>2</t>
    </r>
    <r>
      <rPr>
        <i/>
        <sz val="11"/>
        <rFont val="Calibri"/>
        <family val="2"/>
        <scheme val="minor"/>
      </rPr>
      <t xml:space="preserve"> kohta). Kontori üldpinna sisse ei arvestata kodukontorite pindala.</t>
    </r>
  </si>
  <si>
    <t xml:space="preserve">Selles tabelis saab välja tuua kontori- ehk printeri- ja koopiapaberi ning pehmepaberi (lehträtikud, salvrätikud ja tualettpaber) kasutuse.
</t>
  </si>
  <si>
    <t xml:space="preserve">Kõige lihtsam on paberi arvestust pidada aasta jooksul ostetud kontoripaberi ja pehmepaberi arvulise koguse põhjal, mille saab üldjuhul võtta ostuarvetelt või küsida toodete tarnijalt. 
Paberite pakkides oleva arvulise koguse ning tualettpaberi rulli meetrite kohta saab infot ka toodete kodulehtedelt.
Tabelis arvutatakse  kontoripaberi lehtede koguarv ning paberite kaalud järgmistel eeldustel (vajadusel võib asendada allolevad väärtused teiste väärtustega): </t>
  </si>
  <si>
    <t>1 lehträtik=</t>
  </si>
  <si>
    <t>1 m tualettpaberit=</t>
  </si>
  <si>
    <t>Lehträtik (1 tk)</t>
  </si>
  <si>
    <t>Tualettpaber (1 m)</t>
  </si>
  <si>
    <r>
      <t xml:space="preserve">Paberi tarbimisega seotud KHG jalajälg arvutatakse automaatselt lehel </t>
    </r>
    <r>
      <rPr>
        <sz val="11"/>
        <rFont val="Calibri"/>
        <family val="2"/>
        <scheme val="minor"/>
      </rPr>
      <t>'</t>
    </r>
    <r>
      <rPr>
        <i/>
        <sz val="11"/>
        <rFont val="Calibri"/>
        <family val="2"/>
        <scheme val="minor"/>
      </rPr>
      <t>KHG JALAJÄLG KOOND</t>
    </r>
    <r>
      <rPr>
        <sz val="11"/>
        <rFont val="Calibri"/>
        <family val="2"/>
        <scheme val="minor"/>
      </rPr>
      <t>'</t>
    </r>
    <r>
      <rPr>
        <i/>
        <sz val="11"/>
        <rFont val="Calibri"/>
        <family val="2"/>
        <scheme val="minor"/>
      </rPr>
      <t>.</t>
    </r>
  </si>
  <si>
    <t>Ostetud tualettpaberit (kg)</t>
  </si>
  <si>
    <t>Ostetud lehträtikuid (tk)</t>
  </si>
  <si>
    <t>Ostetud lehträtikuid (kg)</t>
  </si>
  <si>
    <t>Ostetud pehmepaber (kg)</t>
  </si>
  <si>
    <t>KHG HEITKOGUS 
(transpordiettevõtte välja arvutatuna)</t>
  </si>
  <si>
    <t>Variant I</t>
  </si>
  <si>
    <t>Variant II</t>
  </si>
  <si>
    <t>Variant III</t>
  </si>
  <si>
    <t>Variant IV</t>
  </si>
  <si>
    <r>
      <t xml:space="preserve">2. Arvutada KHG heitkogus aastas teenuse osutamiseks kulunud kütuseliitrite või elektrienergia kilovatt-tundide põhjal (variant II). 
Kaubiku puhul saab valida kas kasutatud on bensiini-, diisel- või elektrimootoriga kaubiku teenust (sh tava- või taastuva elektriga sõitev kaubik), bussi puhul on valida diiselmootoriga buss või väikebuss. 
3. Kui teenusepakkujalt pole võimalik kulunud kütuseliitrite või elektrienergia kohta andmeid saada, tuleks tabelisse märkida vastava sõidukitüübiga veetud kauba või reisijate vahemaa kilomeetrites (variant III) või tonn-kilomeetrites (variant IV). 
Ühe veo tonnkilomeetrite arvutamiseks korrutatakse vastava sõidukiliigiga tehtud veo kaugus (km) kauba kaaluga tonnides.
Organisatsiooni oma töötajate tööreisidest tulenev KHG heide arvestatakse lehel </t>
    </r>
    <r>
      <rPr>
        <sz val="11"/>
        <color theme="1"/>
        <rFont val="Aptos Narrow"/>
        <family val="2"/>
      </rPr>
      <t>'</t>
    </r>
    <r>
      <rPr>
        <i/>
        <sz val="11"/>
        <color theme="1"/>
        <rFont val="Aptos Narrow"/>
        <family val="2"/>
      </rPr>
      <t>KHG_TÖÖREISID M3</t>
    </r>
    <r>
      <rPr>
        <sz val="11"/>
        <color theme="1"/>
        <rFont val="Aptos Narrow"/>
        <family val="2"/>
      </rPr>
      <t>'</t>
    </r>
    <r>
      <rPr>
        <i/>
        <sz val="11"/>
        <color theme="1"/>
        <rFont val="Aptos Narrow"/>
        <family val="2"/>
      </rPr>
      <t xml:space="preserve">. </t>
    </r>
  </si>
  <si>
    <r>
      <t>Sisseostetud transporditeenuse  (nt kontorivahendite vedu või inimeste vedu) KHG jalajälje hindamiseks on siin töölehel järgmised võimalused, millest valida üks variant.
1. Küsida transporditeenuse osutajalt teie organisatsiooniga seotud vedude kasvuhoonegaaside koguheide (t CO</t>
    </r>
    <r>
      <rPr>
        <i/>
        <vertAlign val="subscript"/>
        <sz val="11"/>
        <rFont val="Aptos Narrow"/>
        <family val="2"/>
      </rPr>
      <t>2</t>
    </r>
    <r>
      <rPr>
        <i/>
        <sz val="11"/>
        <rFont val="Aptos Narrow"/>
        <family val="2"/>
      </rPr>
      <t xml:space="preserve"> ekv) arvestusaastas ja sisestada see veergu </t>
    </r>
    <r>
      <rPr>
        <sz val="11"/>
        <rFont val="Aptos Narrow"/>
        <family val="2"/>
      </rPr>
      <t>'</t>
    </r>
    <r>
      <rPr>
        <i/>
        <sz val="11"/>
        <rFont val="Aptos Narrow"/>
        <family val="2"/>
      </rPr>
      <t>KHG HEITKOGUS (transpordiettevõtte välja arvutatuna)' (variant I). Transpordiettevõte peaks andma infot ka metoodika kohta, kuidas KHG koguheide on välja arvutatud ja milliseid kütuseid on teenuse osutamiseks kasutatud.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</si>
</sst>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0"/>
    <numFmt numFmtId="167" formatCode="#,##0.0"/>
    <numFmt numFmtId="168" formatCode="0.0%"/>
  </numFmts>
  <fonts count="90" x14ac:knownFonts="1">
    <font>
      <sz val="11"/>
      <color theme="1"/>
      <name val="Calibri"/>
      <family val="2"/>
      <scheme val="minor"/>
    </font>
    <font>
      <sz val="11"/>
      <color theme="1"/>
      <name val="Calibri"/>
      <family val="2"/>
      <charset val="186"/>
      <scheme val="minor"/>
    </font>
    <font>
      <b/>
      <sz val="10"/>
      <name val="Calibri"/>
      <family val="2"/>
      <charset val="186"/>
      <scheme val="minor"/>
    </font>
    <font>
      <sz val="10"/>
      <name val="Calibri"/>
      <family val="2"/>
      <charset val="186"/>
      <scheme val="minor"/>
    </font>
    <font>
      <b/>
      <sz val="11"/>
      <name val="Calibri"/>
      <family val="2"/>
      <charset val="186"/>
      <scheme val="minor"/>
    </font>
    <font>
      <sz val="10"/>
      <color theme="1"/>
      <name val="Calibri"/>
      <family val="2"/>
      <scheme val="minor"/>
    </font>
    <font>
      <b/>
      <sz val="10"/>
      <color theme="1"/>
      <name val="Calibri"/>
      <family val="2"/>
      <charset val="186"/>
      <scheme val="minor"/>
    </font>
    <font>
      <b/>
      <sz val="10"/>
      <color theme="1"/>
      <name val="Calibri"/>
      <family val="2"/>
      <scheme val="minor"/>
    </font>
    <font>
      <sz val="10"/>
      <color theme="1"/>
      <name val="Calibri"/>
      <family val="2"/>
      <charset val="186"/>
      <scheme val="minor"/>
    </font>
    <font>
      <i/>
      <sz val="10"/>
      <color theme="1"/>
      <name val="Calibri"/>
      <family val="2"/>
      <charset val="186"/>
      <scheme val="minor"/>
    </font>
    <font>
      <b/>
      <sz val="11"/>
      <color theme="1"/>
      <name val="Calibri"/>
      <family val="2"/>
      <charset val="186"/>
      <scheme val="minor"/>
    </font>
    <font>
      <i/>
      <sz val="11"/>
      <color theme="1"/>
      <name val="Calibri"/>
      <family val="2"/>
      <charset val="186"/>
      <scheme val="minor"/>
    </font>
    <font>
      <sz val="10"/>
      <name val="Calibri"/>
      <family val="2"/>
      <scheme val="minor"/>
    </font>
    <font>
      <sz val="9"/>
      <color indexed="81"/>
      <name val="Tahoma"/>
      <family val="2"/>
      <charset val="186"/>
    </font>
    <font>
      <b/>
      <sz val="11"/>
      <color theme="1"/>
      <name val="Calibri"/>
      <family val="2"/>
      <scheme val="minor"/>
    </font>
    <font>
      <i/>
      <sz val="11"/>
      <color theme="1"/>
      <name val="Calibri"/>
      <family val="2"/>
      <scheme val="minor"/>
    </font>
    <font>
      <u/>
      <sz val="11"/>
      <color theme="10"/>
      <name val="Calibri"/>
      <family val="2"/>
      <scheme val="minor"/>
    </font>
    <font>
      <b/>
      <sz val="10"/>
      <name val="Calibri"/>
      <family val="2"/>
      <scheme val="minor"/>
    </font>
    <font>
      <sz val="11"/>
      <name val="Calibri"/>
      <family val="2"/>
      <scheme val="minor"/>
    </font>
    <font>
      <b/>
      <sz val="11"/>
      <name val="Calibri"/>
      <family val="2"/>
      <scheme val="minor"/>
    </font>
    <font>
      <i/>
      <sz val="10"/>
      <name val="Calibri"/>
      <family val="2"/>
      <scheme val="minor"/>
    </font>
    <font>
      <b/>
      <sz val="14"/>
      <color rgb="FF00B050"/>
      <name val="Calibri"/>
      <family val="2"/>
      <charset val="186"/>
      <scheme val="minor"/>
    </font>
    <font>
      <b/>
      <sz val="14"/>
      <color theme="1"/>
      <name val="Calibri"/>
      <family val="2"/>
      <charset val="186"/>
      <scheme val="minor"/>
    </font>
    <font>
      <b/>
      <i/>
      <sz val="10"/>
      <color theme="1"/>
      <name val="Calibri"/>
      <family val="2"/>
      <scheme val="minor"/>
    </font>
    <font>
      <b/>
      <sz val="14"/>
      <color theme="1"/>
      <name val="Calibri"/>
      <family val="2"/>
      <scheme val="minor"/>
    </font>
    <font>
      <b/>
      <sz val="14"/>
      <name val="Calibri"/>
      <family val="2"/>
      <scheme val="minor"/>
    </font>
    <font>
      <b/>
      <sz val="12"/>
      <color theme="1"/>
      <name val="Calibri"/>
      <family val="2"/>
      <scheme val="minor"/>
    </font>
    <font>
      <i/>
      <sz val="11"/>
      <color rgb="FFFF0000"/>
      <name val="Calibri"/>
      <family val="2"/>
      <scheme val="minor"/>
    </font>
    <font>
      <sz val="11"/>
      <color rgb="FFFF0000"/>
      <name val="Calibri"/>
      <family val="2"/>
      <scheme val="minor"/>
    </font>
    <font>
      <i/>
      <sz val="12"/>
      <name val="Calibri"/>
      <family val="2"/>
      <scheme val="minor"/>
    </font>
    <font>
      <b/>
      <sz val="16"/>
      <name val="Calibri"/>
      <family val="2"/>
      <charset val="186"/>
      <scheme val="minor"/>
    </font>
    <font>
      <b/>
      <sz val="16"/>
      <name val="Calibri"/>
      <family val="2"/>
      <scheme val="minor"/>
    </font>
    <font>
      <b/>
      <sz val="14"/>
      <name val="Calibri"/>
      <family val="2"/>
      <charset val="186"/>
      <scheme val="minor"/>
    </font>
    <font>
      <i/>
      <sz val="14"/>
      <name val="Calibri"/>
      <family val="2"/>
      <scheme val="minor"/>
    </font>
    <font>
      <i/>
      <sz val="12"/>
      <color theme="1"/>
      <name val="Calibri"/>
      <family val="2"/>
      <scheme val="minor"/>
    </font>
    <font>
      <b/>
      <sz val="12"/>
      <color theme="1"/>
      <name val="Calibri"/>
      <family val="2"/>
      <charset val="186"/>
      <scheme val="minor"/>
    </font>
    <font>
      <b/>
      <vertAlign val="superscript"/>
      <sz val="10"/>
      <color theme="1"/>
      <name val="Calibri"/>
      <family val="2"/>
      <scheme val="minor"/>
    </font>
    <font>
      <vertAlign val="superscript"/>
      <sz val="10"/>
      <name val="Calibri"/>
      <family val="2"/>
      <scheme val="minor"/>
    </font>
    <font>
      <vertAlign val="superscript"/>
      <sz val="10"/>
      <color theme="1"/>
      <name val="Calibri"/>
      <family val="2"/>
      <scheme val="minor"/>
    </font>
    <font>
      <sz val="10"/>
      <color rgb="FF000000"/>
      <name val="Calibri"/>
      <family val="2"/>
      <scheme val="minor"/>
    </font>
    <font>
      <sz val="12"/>
      <color theme="1"/>
      <name val="Cambria"/>
      <family val="1"/>
    </font>
    <font>
      <sz val="11"/>
      <color theme="1"/>
      <name val="Cambria"/>
      <family val="1"/>
    </font>
    <font>
      <sz val="11"/>
      <color rgb="FF000000"/>
      <name val="Calibri"/>
      <family val="2"/>
    </font>
    <font>
      <sz val="8"/>
      <name val="Calibri"/>
      <family val="2"/>
      <scheme val="minor"/>
    </font>
    <font>
      <b/>
      <sz val="11"/>
      <color theme="0"/>
      <name val="Calibri"/>
      <family val="2"/>
      <scheme val="minor"/>
    </font>
    <font>
      <vertAlign val="superscript"/>
      <sz val="10"/>
      <name val="Tahoma"/>
      <family val="2"/>
    </font>
    <font>
      <vertAlign val="superscript"/>
      <sz val="10"/>
      <name val="Calibri"/>
      <family val="2"/>
    </font>
    <font>
      <sz val="11"/>
      <color theme="1"/>
      <name val="Calibri"/>
      <family val="2"/>
      <scheme val="minor"/>
    </font>
    <font>
      <b/>
      <sz val="10"/>
      <color theme="0"/>
      <name val="Calibri"/>
      <family val="2"/>
      <scheme val="minor"/>
    </font>
    <font>
      <b/>
      <sz val="18"/>
      <color theme="1"/>
      <name val="Calibri"/>
      <family val="2"/>
      <charset val="186"/>
      <scheme val="minor"/>
    </font>
    <font>
      <i/>
      <vertAlign val="superscript"/>
      <sz val="11"/>
      <color theme="1"/>
      <name val="Calibri"/>
      <family val="2"/>
      <scheme val="minor"/>
    </font>
    <font>
      <i/>
      <vertAlign val="superscript"/>
      <sz val="10"/>
      <name val="Calibri"/>
      <family val="2"/>
      <scheme val="minor"/>
    </font>
    <font>
      <sz val="11"/>
      <color rgb="FFFF0000"/>
      <name val="Cambria"/>
      <family val="1"/>
    </font>
    <font>
      <b/>
      <sz val="16"/>
      <color rgb="FFFF0000"/>
      <name val="Calibri"/>
      <family val="2"/>
      <scheme val="minor"/>
    </font>
    <font>
      <sz val="11"/>
      <color rgb="FF002060"/>
      <name val="Cambria"/>
      <family val="1"/>
    </font>
    <font>
      <b/>
      <sz val="12"/>
      <color rgb="FFFF0000"/>
      <name val="Calibri"/>
      <family val="2"/>
      <scheme val="minor"/>
    </font>
    <font>
      <b/>
      <vertAlign val="subscript"/>
      <sz val="10"/>
      <name val="Calibri"/>
      <family val="2"/>
      <scheme val="minor"/>
    </font>
    <font>
      <b/>
      <vertAlign val="subscript"/>
      <sz val="10"/>
      <color theme="0"/>
      <name val="Calibri"/>
      <family val="2"/>
      <scheme val="minor"/>
    </font>
    <font>
      <b/>
      <sz val="12"/>
      <name val="Calibri"/>
      <family val="2"/>
      <scheme val="minor"/>
    </font>
    <font>
      <sz val="10"/>
      <color theme="1"/>
      <name val="Calibri"/>
      <family val="2"/>
    </font>
    <font>
      <i/>
      <sz val="11"/>
      <name val="Calibri"/>
      <family val="2"/>
      <scheme val="minor"/>
    </font>
    <font>
      <b/>
      <i/>
      <sz val="14"/>
      <name val="Calibri"/>
      <family val="2"/>
      <scheme val="minor"/>
    </font>
    <font>
      <i/>
      <u/>
      <sz val="11"/>
      <color theme="10"/>
      <name val="Calibri"/>
      <family val="2"/>
      <scheme val="minor"/>
    </font>
    <font>
      <b/>
      <i/>
      <sz val="11"/>
      <name val="Calibri"/>
      <family val="2"/>
      <scheme val="minor"/>
    </font>
    <font>
      <sz val="11"/>
      <name val="Calibri"/>
      <family val="2"/>
    </font>
    <font>
      <i/>
      <vertAlign val="superscript"/>
      <sz val="11"/>
      <name val="Calibri"/>
      <family val="2"/>
      <scheme val="minor"/>
    </font>
    <font>
      <vertAlign val="subscript"/>
      <sz val="11"/>
      <name val="Calibri"/>
      <family val="2"/>
      <scheme val="minor"/>
    </font>
    <font>
      <b/>
      <vertAlign val="subscript"/>
      <sz val="10"/>
      <color theme="1"/>
      <name val="Calibri"/>
      <family val="2"/>
      <scheme val="minor"/>
    </font>
    <font>
      <i/>
      <sz val="11"/>
      <name val="Calibri"/>
      <family val="2"/>
    </font>
    <font>
      <i/>
      <vertAlign val="subscript"/>
      <sz val="11"/>
      <name val="Calibri"/>
      <family val="2"/>
      <scheme val="minor"/>
    </font>
    <font>
      <vertAlign val="subscript"/>
      <sz val="10"/>
      <color theme="1"/>
      <name val="Calibri"/>
      <family val="2"/>
      <scheme val="minor"/>
    </font>
    <font>
      <i/>
      <sz val="10"/>
      <color theme="1"/>
      <name val="Calibri"/>
      <family val="2"/>
      <scheme val="minor"/>
    </font>
    <font>
      <sz val="10"/>
      <color theme="1"/>
      <name val="Cambria"/>
      <family val="1"/>
    </font>
    <font>
      <sz val="10"/>
      <name val="Cambria"/>
      <family val="1"/>
    </font>
    <font>
      <u/>
      <sz val="10"/>
      <color theme="10"/>
      <name val="Calibri"/>
      <family val="2"/>
      <scheme val="minor"/>
    </font>
    <font>
      <vertAlign val="subscript"/>
      <sz val="10"/>
      <name val="Cambria"/>
      <family val="1"/>
    </font>
    <font>
      <sz val="11"/>
      <color theme="1"/>
      <name val="Calibri"/>
      <family val="2"/>
    </font>
    <font>
      <sz val="10"/>
      <color rgb="FFFF0000"/>
      <name val="Calibri"/>
      <family val="2"/>
      <scheme val="minor"/>
    </font>
    <font>
      <b/>
      <sz val="13"/>
      <color theme="3"/>
      <name val="Calibri"/>
      <family val="2"/>
      <charset val="186"/>
      <scheme val="minor"/>
    </font>
    <font>
      <b/>
      <sz val="8"/>
      <name val="Tahoma"/>
      <family val="2"/>
    </font>
    <font>
      <vertAlign val="subscript"/>
      <sz val="10"/>
      <name val="Calibri"/>
      <family val="2"/>
      <scheme val="minor"/>
    </font>
    <font>
      <sz val="10"/>
      <color theme="1"/>
      <name val="Aptos Narrow"/>
      <family val="2"/>
    </font>
    <font>
      <vertAlign val="subscript"/>
      <sz val="10"/>
      <color theme="1"/>
      <name val="Aptos Narrow"/>
      <family val="2"/>
    </font>
    <font>
      <vertAlign val="subscript"/>
      <sz val="10"/>
      <color theme="1"/>
      <name val="Calibri"/>
      <family val="2"/>
      <charset val="186"/>
      <scheme val="minor"/>
    </font>
    <font>
      <b/>
      <sz val="14"/>
      <color rgb="FF00B050"/>
      <name val="Aptos Narrow"/>
      <family val="2"/>
    </font>
    <font>
      <sz val="11"/>
      <color theme="1"/>
      <name val="Aptos Narrow"/>
      <family val="2"/>
    </font>
    <font>
      <i/>
      <sz val="11"/>
      <name val="Aptos Narrow"/>
      <family val="2"/>
    </font>
    <font>
      <i/>
      <vertAlign val="subscript"/>
      <sz val="11"/>
      <name val="Aptos Narrow"/>
      <family val="2"/>
    </font>
    <font>
      <sz val="11"/>
      <name val="Aptos Narrow"/>
      <family val="2"/>
    </font>
    <font>
      <i/>
      <sz val="11"/>
      <color theme="1"/>
      <name val="Aptos Narrow"/>
      <family val="2"/>
    </font>
  </fonts>
  <fills count="18">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rgb="FFFFFFFF"/>
      </patternFill>
    </fill>
    <fill>
      <patternFill patternType="solid">
        <fgColor rgb="FFF0F5FF"/>
      </patternFill>
    </fill>
    <fill>
      <patternFill patternType="solid">
        <fgColor rgb="FFD8E4BC"/>
        <bgColor indexed="64"/>
      </patternFill>
    </fill>
    <fill>
      <patternFill patternType="solid">
        <fgColor rgb="FF79943C"/>
        <bgColor indexed="64"/>
      </patternFill>
    </fill>
    <fill>
      <patternFill patternType="solid">
        <fgColor theme="4" tint="0.79998168889431442"/>
        <bgColor rgb="FF000000"/>
      </patternFill>
    </fill>
    <fill>
      <patternFill patternType="solid">
        <fgColor rgb="FF3B760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66CC00"/>
        <bgColor indexed="64"/>
      </patternFill>
    </fill>
    <fill>
      <patternFill patternType="solid">
        <fgColor rgb="FFDBFFB7"/>
        <bgColor indexed="64"/>
      </patternFill>
    </fill>
    <fill>
      <patternFill patternType="solid">
        <fgColor rgb="FFA5FF4B"/>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DADCDD"/>
      </left>
      <right style="thin">
        <color rgb="FFDADCDD"/>
      </right>
      <top style="thin">
        <color rgb="FFDADCDD"/>
      </top>
      <bottom style="thin">
        <color rgb="FFDADCDD"/>
      </bottom>
      <diagonal/>
    </border>
    <border>
      <left style="medium">
        <color indexed="64"/>
      </left>
      <right/>
      <top style="medium">
        <color rgb="FF000000"/>
      </top>
      <bottom/>
      <diagonal/>
    </border>
    <border>
      <left style="thin">
        <color rgb="FFB2B2B2"/>
      </left>
      <right style="thin">
        <color rgb="FFB2B2B2"/>
      </right>
      <top style="thin">
        <color rgb="FFB2B2B2"/>
      </top>
      <bottom style="thin">
        <color rgb="FFB2B2B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rgb="FF548235"/>
      </left>
      <right/>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xf numFmtId="0" fontId="16" fillId="0" borderId="0" applyNumberFormat="0" applyFill="0" applyBorder="0" applyAlignment="0" applyProtection="0"/>
    <xf numFmtId="0" fontId="42" fillId="6" borderId="58"/>
    <xf numFmtId="0" fontId="42" fillId="7" borderId="58"/>
    <xf numFmtId="0" fontId="18" fillId="10" borderId="60" applyNumberFormat="0" applyProtection="0">
      <alignment vertical="center"/>
    </xf>
    <xf numFmtId="9" fontId="47" fillId="0" borderId="0" applyFont="0" applyFill="0" applyBorder="0" applyAlignment="0" applyProtection="0"/>
    <xf numFmtId="0" fontId="78" fillId="0" borderId="0">
      <alignment vertical="center"/>
    </xf>
  </cellStyleXfs>
  <cellXfs count="684">
    <xf numFmtId="0" fontId="0" fillId="0" borderId="0" xfId="0"/>
    <xf numFmtId="0" fontId="4" fillId="0" borderId="0" xfId="0" applyFont="1"/>
    <xf numFmtId="0" fontId="5" fillId="0" borderId="0" xfId="0" applyFont="1"/>
    <xf numFmtId="0" fontId="0" fillId="0" borderId="0" xfId="0" applyAlignment="1">
      <alignment horizontal="center"/>
    </xf>
    <xf numFmtId="0" fontId="10" fillId="0" borderId="0" xfId="0" applyFont="1"/>
    <xf numFmtId="0" fontId="11" fillId="0" borderId="0" xfId="0" applyFont="1"/>
    <xf numFmtId="0" fontId="3" fillId="0" borderId="0" xfId="0" applyFont="1" applyAlignment="1">
      <alignment horizontal="center"/>
    </xf>
    <xf numFmtId="0" fontId="3" fillId="0" borderId="0" xfId="0" applyFont="1"/>
    <xf numFmtId="0" fontId="8" fillId="0" borderId="0" xfId="0" applyFont="1"/>
    <xf numFmtId="0" fontId="3" fillId="0" borderId="0" xfId="0" applyFont="1" applyAlignment="1">
      <alignment horizontal="left"/>
    </xf>
    <xf numFmtId="0" fontId="8" fillId="0" borderId="0" xfId="0" applyFont="1" applyAlignment="1">
      <alignment horizontal="left"/>
    </xf>
    <xf numFmtId="0" fontId="5" fillId="0" borderId="0" xfId="0" applyFont="1" applyAlignment="1">
      <alignment horizontal="center"/>
    </xf>
    <xf numFmtId="0" fontId="12" fillId="0" borderId="0" xfId="0" applyFont="1" applyAlignment="1">
      <alignment horizontal="center"/>
    </xf>
    <xf numFmtId="0" fontId="11" fillId="0" borderId="0" xfId="0" applyFont="1" applyAlignment="1">
      <alignment horizontal="left" wrapText="1"/>
    </xf>
    <xf numFmtId="0" fontId="9" fillId="0" borderId="0" xfId="0" applyFont="1" applyAlignment="1">
      <alignment horizontal="left" wrapText="1"/>
    </xf>
    <xf numFmtId="0" fontId="5" fillId="0" borderId="0" xfId="0" applyFont="1" applyAlignment="1">
      <alignment horizontal="left"/>
    </xf>
    <xf numFmtId="0" fontId="15" fillId="0" borderId="0" xfId="0" applyFont="1"/>
    <xf numFmtId="0" fontId="5" fillId="0" borderId="0" xfId="0" applyFont="1" applyAlignment="1">
      <alignment vertical="top" wrapText="1"/>
    </xf>
    <xf numFmtId="0" fontId="11" fillId="0" borderId="0" xfId="0" applyFont="1" applyAlignment="1">
      <alignment vertical="top"/>
    </xf>
    <xf numFmtId="0" fontId="18" fillId="0" borderId="0" xfId="0" applyFont="1"/>
    <xf numFmtId="0" fontId="18" fillId="0" borderId="0" xfId="0" applyFont="1" applyAlignment="1">
      <alignment horizontal="center"/>
    </xf>
    <xf numFmtId="0" fontId="12" fillId="0" borderId="0" xfId="0" applyFont="1"/>
    <xf numFmtId="0" fontId="14" fillId="0" borderId="0" xfId="0" applyFont="1"/>
    <xf numFmtId="0" fontId="21" fillId="0" borderId="0" xfId="0" applyFont="1"/>
    <xf numFmtId="0" fontId="11" fillId="0" borderId="0" xfId="0" applyFont="1" applyAlignment="1">
      <alignment vertical="top" wrapText="1"/>
    </xf>
    <xf numFmtId="0" fontId="22" fillId="0" borderId="0" xfId="0" applyFont="1"/>
    <xf numFmtId="0" fontId="24" fillId="0" borderId="0" xfId="0" applyFont="1"/>
    <xf numFmtId="9" fontId="0" fillId="0" borderId="0" xfId="0" applyNumberFormat="1"/>
    <xf numFmtId="0" fontId="25" fillId="0" borderId="0" xfId="0" applyFont="1"/>
    <xf numFmtId="0" fontId="3" fillId="0" borderId="0" xfId="0" applyFont="1" applyAlignment="1">
      <alignment wrapText="1"/>
    </xf>
    <xf numFmtId="0" fontId="15" fillId="0" borderId="0" xfId="0" applyFont="1" applyAlignment="1">
      <alignment vertical="top" wrapText="1"/>
    </xf>
    <xf numFmtId="0" fontId="30" fillId="0" borderId="0" xfId="0" applyFont="1"/>
    <xf numFmtId="0" fontId="32" fillId="0" borderId="0" xfId="0" applyFont="1"/>
    <xf numFmtId="0" fontId="26" fillId="0" borderId="0" xfId="0" applyFont="1"/>
    <xf numFmtId="0" fontId="29" fillId="0" borderId="0" xfId="0" applyFont="1" applyAlignment="1">
      <alignment horizontal="left" vertical="top" wrapText="1"/>
    </xf>
    <xf numFmtId="0" fontId="15" fillId="0" borderId="0" xfId="0" applyFont="1" applyAlignment="1">
      <alignment horizontal="left" vertical="top" wrapText="1"/>
    </xf>
    <xf numFmtId="0" fontId="34" fillId="0" borderId="0" xfId="0" applyFont="1" applyAlignment="1">
      <alignment horizontal="left" vertical="top" wrapText="1"/>
    </xf>
    <xf numFmtId="0" fontId="33" fillId="0" borderId="0" xfId="0" applyFont="1" applyAlignment="1">
      <alignment horizontal="left" vertical="top" wrapText="1"/>
    </xf>
    <xf numFmtId="0" fontId="23" fillId="0" borderId="0" xfId="0" applyFont="1" applyAlignment="1">
      <alignment wrapText="1"/>
    </xf>
    <xf numFmtId="0" fontId="5" fillId="0" borderId="0" xfId="0" applyFont="1" applyAlignment="1">
      <alignment horizontal="center" vertical="center"/>
    </xf>
    <xf numFmtId="0" fontId="3" fillId="0" borderId="1" xfId="0" applyFont="1" applyBorder="1" applyAlignment="1">
      <alignment horizontal="center"/>
    </xf>
    <xf numFmtId="0" fontId="11" fillId="0" borderId="0" xfId="0" applyFont="1" applyAlignment="1">
      <alignment horizontal="center" wrapText="1"/>
    </xf>
    <xf numFmtId="164" fontId="7" fillId="0" borderId="0" xfId="0" applyNumberFormat="1" applyFont="1" applyAlignment="1">
      <alignment horizontal="center"/>
    </xf>
    <xf numFmtId="0" fontId="34" fillId="0" borderId="0" xfId="0" applyFont="1" applyAlignment="1">
      <alignment horizontal="center" vertical="top" wrapText="1"/>
    </xf>
    <xf numFmtId="0" fontId="2" fillId="0" borderId="8" xfId="0" applyFont="1" applyBorder="1" applyAlignment="1">
      <alignment horizontal="center" wrapText="1"/>
    </xf>
    <xf numFmtId="0" fontId="29" fillId="0" borderId="0" xfId="0" applyFont="1" applyAlignment="1">
      <alignment horizontal="center" vertical="top" wrapText="1"/>
    </xf>
    <xf numFmtId="0" fontId="17" fillId="0" borderId="9" xfId="0" applyFont="1" applyBorder="1" applyAlignment="1">
      <alignment horizontal="center" wrapText="1"/>
    </xf>
    <xf numFmtId="0" fontId="12" fillId="0" borderId="9" xfId="0" applyFont="1" applyBorder="1" applyAlignment="1">
      <alignment horizontal="center"/>
    </xf>
    <xf numFmtId="0" fontId="12" fillId="0" borderId="10" xfId="0" applyFont="1" applyBorder="1" applyAlignment="1">
      <alignment horizontal="center"/>
    </xf>
    <xf numFmtId="0" fontId="28" fillId="0" borderId="0" xfId="0" applyFont="1"/>
    <xf numFmtId="0" fontId="12" fillId="0" borderId="11" xfId="0" applyFont="1" applyBorder="1" applyAlignment="1">
      <alignment horizontal="center" vertical="center"/>
    </xf>
    <xf numFmtId="164" fontId="18" fillId="0" borderId="0" xfId="0" applyNumberFormat="1" applyFont="1" applyAlignment="1">
      <alignment horizontal="right"/>
    </xf>
    <xf numFmtId="164" fontId="18" fillId="0" borderId="0" xfId="0" applyNumberFormat="1" applyFont="1" applyAlignment="1">
      <alignment horizontal="center"/>
    </xf>
    <xf numFmtId="0" fontId="3" fillId="0" borderId="51" xfId="0" applyFont="1" applyBorder="1" applyAlignment="1">
      <alignment wrapText="1"/>
    </xf>
    <xf numFmtId="0" fontId="5" fillId="0" borderId="51" xfId="0" applyFont="1" applyBorder="1" applyAlignment="1">
      <alignment horizontal="center"/>
    </xf>
    <xf numFmtId="0" fontId="14"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vertical="top" wrapText="1"/>
    </xf>
    <xf numFmtId="0" fontId="7" fillId="0" borderId="0" xfId="0" applyFont="1" applyAlignment="1">
      <alignment horizontal="center" vertical="center"/>
    </xf>
    <xf numFmtId="0" fontId="5" fillId="0" borderId="0" xfId="0" applyFont="1" applyAlignment="1">
      <alignment horizontal="center" vertical="center" wrapText="1"/>
    </xf>
    <xf numFmtId="0" fontId="23" fillId="0" borderId="0" xfId="0" applyFont="1"/>
    <xf numFmtId="0" fontId="40" fillId="0" borderId="0" xfId="0" applyFont="1"/>
    <xf numFmtId="0" fontId="41" fillId="0" borderId="0" xfId="0" applyFont="1"/>
    <xf numFmtId="0" fontId="0" fillId="0" borderId="0" xfId="0" applyAlignment="1">
      <alignment horizontal="center" vertical="center"/>
    </xf>
    <xf numFmtId="0" fontId="34"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167" fontId="17" fillId="2" borderId="8" xfId="0" applyNumberFormat="1" applyFont="1" applyFill="1" applyBorder="1" applyAlignment="1">
      <alignment horizontal="center"/>
    </xf>
    <xf numFmtId="167" fontId="17" fillId="2" borderId="9" xfId="0" applyNumberFormat="1" applyFont="1" applyFill="1" applyBorder="1" applyAlignment="1">
      <alignment horizontal="center"/>
    </xf>
    <xf numFmtId="167" fontId="17" fillId="2" borderId="10" xfId="0" applyNumberFormat="1" applyFont="1" applyFill="1" applyBorder="1" applyAlignment="1">
      <alignment horizontal="center"/>
    </xf>
    <xf numFmtId="167" fontId="17" fillId="2" borderId="35" xfId="0" applyNumberFormat="1" applyFont="1" applyFill="1" applyBorder="1" applyAlignment="1">
      <alignment horizontal="center"/>
    </xf>
    <xf numFmtId="167" fontId="17" fillId="2" borderId="42" xfId="0" applyNumberFormat="1" applyFont="1" applyFill="1" applyBorder="1" applyAlignment="1">
      <alignment horizontal="center"/>
    </xf>
    <xf numFmtId="167" fontId="7" fillId="2" borderId="8" xfId="0" applyNumberFormat="1" applyFont="1" applyFill="1" applyBorder="1" applyAlignment="1">
      <alignment horizontal="center"/>
    </xf>
    <xf numFmtId="167" fontId="7" fillId="2" borderId="9" xfId="0" applyNumberFormat="1" applyFont="1" applyFill="1" applyBorder="1" applyAlignment="1">
      <alignment horizontal="center"/>
    </xf>
    <xf numFmtId="167" fontId="7" fillId="2" borderId="10" xfId="0" applyNumberFormat="1" applyFont="1" applyFill="1" applyBorder="1" applyAlignment="1">
      <alignment horizontal="center"/>
    </xf>
    <xf numFmtId="167" fontId="6" fillId="2" borderId="8" xfId="0" applyNumberFormat="1" applyFont="1" applyFill="1" applyBorder="1" applyAlignment="1">
      <alignment horizontal="center"/>
    </xf>
    <xf numFmtId="167" fontId="6" fillId="2" borderId="10" xfId="0" applyNumberFormat="1" applyFont="1" applyFill="1" applyBorder="1" applyAlignment="1">
      <alignment horizontal="center"/>
    </xf>
    <xf numFmtId="167" fontId="3" fillId="3" borderId="8" xfId="0" applyNumberFormat="1" applyFont="1" applyFill="1" applyBorder="1" applyAlignment="1">
      <alignment horizontal="center"/>
    </xf>
    <xf numFmtId="167" fontId="5" fillId="2" borderId="9" xfId="0" applyNumberFormat="1" applyFont="1" applyFill="1" applyBorder="1" applyAlignment="1">
      <alignment horizontal="center"/>
    </xf>
    <xf numFmtId="167" fontId="7" fillId="2" borderId="35" xfId="0" applyNumberFormat="1" applyFont="1" applyFill="1" applyBorder="1" applyAlignment="1">
      <alignment horizontal="center"/>
    </xf>
    <xf numFmtId="0" fontId="0" fillId="0" borderId="0" xfId="0" applyAlignment="1">
      <alignment horizontal="center" vertical="center" wrapText="1"/>
    </xf>
    <xf numFmtId="167" fontId="0" fillId="0" borderId="0" xfId="0" applyNumberFormat="1" applyAlignment="1">
      <alignment horizontal="center" vertical="center"/>
    </xf>
    <xf numFmtId="0" fontId="5" fillId="0" borderId="32" xfId="0" applyFont="1" applyBorder="1" applyAlignment="1">
      <alignment horizontal="center" vertical="center"/>
    </xf>
    <xf numFmtId="167" fontId="17" fillId="0" borderId="39" xfId="0" applyNumberFormat="1" applyFont="1" applyBorder="1" applyAlignment="1">
      <alignment horizontal="center" vertical="center" wrapText="1"/>
    </xf>
    <xf numFmtId="164" fontId="5" fillId="2" borderId="7" xfId="0" applyNumberFormat="1" applyFont="1" applyFill="1" applyBorder="1" applyAlignment="1">
      <alignment horizontal="center"/>
    </xf>
    <xf numFmtId="0" fontId="5" fillId="0" borderId="9" xfId="0" applyFont="1" applyBorder="1" applyAlignment="1">
      <alignment horizontal="center"/>
    </xf>
    <xf numFmtId="0" fontId="15" fillId="0" borderId="0" xfId="0" applyFont="1" applyAlignment="1">
      <alignment horizontal="center" vertical="top" wrapText="1"/>
    </xf>
    <xf numFmtId="167" fontId="7" fillId="2" borderId="4" xfId="0" applyNumberFormat="1" applyFont="1" applyFill="1" applyBorder="1" applyAlignment="1">
      <alignment horizontal="center"/>
    </xf>
    <xf numFmtId="167" fontId="7" fillId="2" borderId="1" xfId="0" applyNumberFormat="1" applyFont="1" applyFill="1" applyBorder="1" applyAlignment="1">
      <alignment horizontal="center"/>
    </xf>
    <xf numFmtId="167" fontId="6" fillId="2" borderId="1" xfId="0" applyNumberFormat="1" applyFont="1" applyFill="1" applyBorder="1" applyAlignment="1">
      <alignment horizontal="center"/>
    </xf>
    <xf numFmtId="10" fontId="0" fillId="0" borderId="0" xfId="5" applyNumberFormat="1" applyFont="1"/>
    <xf numFmtId="2" fontId="0" fillId="0" borderId="0" xfId="0" applyNumberFormat="1"/>
    <xf numFmtId="0" fontId="32" fillId="0" borderId="0" xfId="0" applyFont="1" applyAlignment="1">
      <alignment horizontal="left"/>
    </xf>
    <xf numFmtId="0" fontId="17" fillId="0" borderId="8" xfId="0" applyFont="1" applyBorder="1" applyAlignment="1">
      <alignment horizontal="center" vertical="center"/>
    </xf>
    <xf numFmtId="0" fontId="5" fillId="0" borderId="12" xfId="0" applyFont="1" applyBorder="1" applyAlignment="1">
      <alignment vertical="center"/>
    </xf>
    <xf numFmtId="167" fontId="12" fillId="3" borderId="13" xfId="0" applyNumberFormat="1" applyFont="1" applyFill="1" applyBorder="1" applyAlignment="1">
      <alignment horizontal="center" vertical="center"/>
    </xf>
    <xf numFmtId="167" fontId="12" fillId="3" borderId="53" xfId="0" applyNumberFormat="1" applyFont="1" applyFill="1" applyBorder="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wrapText="1"/>
    </xf>
    <xf numFmtId="0" fontId="12" fillId="0" borderId="9" xfId="0" applyFont="1" applyBorder="1" applyAlignment="1">
      <alignment horizontal="center" vertical="center"/>
    </xf>
    <xf numFmtId="0" fontId="7" fillId="0" borderId="12" xfId="0" applyFont="1" applyBorder="1" applyAlignment="1">
      <alignment horizontal="center"/>
    </xf>
    <xf numFmtId="0" fontId="7" fillId="0" borderId="34" xfId="0" applyFont="1" applyBorder="1" applyAlignment="1">
      <alignment horizontal="center"/>
    </xf>
    <xf numFmtId="0" fontId="39" fillId="0" borderId="9" xfId="0" applyFont="1" applyBorder="1" applyAlignment="1">
      <alignment horizontal="center" vertical="center"/>
    </xf>
    <xf numFmtId="0" fontId="5" fillId="0" borderId="34" xfId="0" applyFont="1" applyBorder="1" applyAlignment="1">
      <alignment vertical="center"/>
    </xf>
    <xf numFmtId="0" fontId="0" fillId="0" borderId="12" xfId="0" applyBorder="1" applyAlignment="1">
      <alignment horizontal="center"/>
    </xf>
    <xf numFmtId="0" fontId="0" fillId="0" borderId="12" xfId="0" applyBorder="1"/>
    <xf numFmtId="0" fontId="5" fillId="0" borderId="9" xfId="0" applyFont="1" applyBorder="1" applyAlignment="1">
      <alignment horizontal="center" vertical="center"/>
    </xf>
    <xf numFmtId="0" fontId="5" fillId="0" borderId="34" xfId="0" applyFont="1" applyBorder="1" applyAlignment="1">
      <alignment horizontal="center"/>
    </xf>
    <xf numFmtId="167" fontId="12" fillId="3" borderId="13" xfId="0" applyNumberFormat="1" applyFont="1" applyFill="1" applyBorder="1" applyAlignment="1">
      <alignment horizontal="center" vertical="center" wrapText="1"/>
    </xf>
    <xf numFmtId="166" fontId="0" fillId="0" borderId="0" xfId="0" applyNumberFormat="1"/>
    <xf numFmtId="0" fontId="5" fillId="0" borderId="29" xfId="0" applyFont="1" applyBorder="1" applyAlignment="1">
      <alignment vertical="center"/>
    </xf>
    <xf numFmtId="0" fontId="7" fillId="0" borderId="9" xfId="0" applyFont="1" applyBorder="1" applyAlignment="1">
      <alignment horizontal="center"/>
    </xf>
    <xf numFmtId="4" fontId="0" fillId="0" borderId="0" xfId="0" applyNumberFormat="1"/>
    <xf numFmtId="0" fontId="48" fillId="11" borderId="32" xfId="0" applyFont="1" applyFill="1" applyBorder="1" applyAlignment="1">
      <alignment vertical="center"/>
    </xf>
    <xf numFmtId="2" fontId="7" fillId="0" borderId="49" xfId="0" applyNumberFormat="1" applyFont="1" applyBorder="1" applyAlignment="1">
      <alignment horizontal="center" vertical="center"/>
    </xf>
    <xf numFmtId="0" fontId="5" fillId="0" borderId="32" xfId="0" applyFont="1" applyBorder="1" applyAlignment="1">
      <alignment horizontal="center"/>
    </xf>
    <xf numFmtId="0" fontId="0" fillId="0" borderId="61" xfId="0" applyBorder="1" applyAlignment="1">
      <alignment horizontal="center"/>
    </xf>
    <xf numFmtId="168" fontId="0" fillId="0" borderId="0" xfId="5" applyNumberFormat="1" applyFont="1"/>
    <xf numFmtId="0" fontId="7" fillId="0" borderId="32" xfId="0" applyFont="1" applyBorder="1"/>
    <xf numFmtId="0" fontId="49" fillId="0" borderId="0" xfId="0" applyFont="1"/>
    <xf numFmtId="0" fontId="1" fillId="0" borderId="0" xfId="0" applyFont="1"/>
    <xf numFmtId="0" fontId="15" fillId="0" borderId="63" xfId="0" applyFont="1" applyBorder="1"/>
    <xf numFmtId="0" fontId="7" fillId="0" borderId="3" xfId="0" applyFont="1" applyBorder="1" applyAlignment="1">
      <alignment horizontal="center"/>
    </xf>
    <xf numFmtId="0" fontId="3" fillId="0" borderId="3"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3" fillId="0" borderId="3" xfId="0" applyFont="1" applyBorder="1" applyAlignment="1">
      <alignment horizontal="center" wrapText="1"/>
    </xf>
    <xf numFmtId="0" fontId="12" fillId="0" borderId="3" xfId="0" applyFont="1" applyBorder="1" applyAlignment="1">
      <alignment horizontal="center" vertical="center" wrapText="1"/>
    </xf>
    <xf numFmtId="0" fontId="21" fillId="0" borderId="0" xfId="0" applyFont="1" applyAlignment="1">
      <alignment horizontal="center"/>
    </xf>
    <xf numFmtId="0" fontId="12" fillId="0" borderId="9" xfId="0" applyFont="1" applyBorder="1" applyAlignment="1">
      <alignment horizontal="center" wrapText="1"/>
    </xf>
    <xf numFmtId="168" fontId="7" fillId="2" borderId="10" xfId="5" applyNumberFormat="1" applyFont="1" applyFill="1" applyBorder="1" applyAlignment="1">
      <alignment horizontal="center"/>
    </xf>
    <xf numFmtId="0" fontId="10" fillId="0" borderId="0" xfId="0" applyFont="1" applyAlignment="1">
      <alignment horizontal="center"/>
    </xf>
    <xf numFmtId="0" fontId="12" fillId="0" borderId="3" xfId="0" applyFont="1" applyBorder="1" applyAlignment="1">
      <alignment horizontal="center"/>
    </xf>
    <xf numFmtId="0" fontId="12" fillId="0" borderId="3" xfId="0" applyFont="1" applyBorder="1" applyAlignment="1">
      <alignment horizontal="center" wrapText="1"/>
    </xf>
    <xf numFmtId="167" fontId="7" fillId="2" borderId="1" xfId="0" applyNumberFormat="1" applyFont="1" applyFill="1" applyBorder="1" applyAlignment="1">
      <alignment horizontal="center" vertical="center"/>
    </xf>
    <xf numFmtId="168" fontId="7" fillId="2" borderId="7" xfId="5" applyNumberFormat="1" applyFont="1" applyFill="1" applyBorder="1" applyAlignment="1">
      <alignment horizontal="center" vertical="center"/>
    </xf>
    <xf numFmtId="168" fontId="7" fillId="2" borderId="1" xfId="5" applyNumberFormat="1" applyFont="1" applyFill="1" applyBorder="1" applyAlignment="1">
      <alignment horizontal="center" vertical="center"/>
    </xf>
    <xf numFmtId="168" fontId="7" fillId="2" borderId="4" xfId="5" applyNumberFormat="1" applyFont="1" applyFill="1" applyBorder="1" applyAlignment="1">
      <alignment horizontal="center" vertical="center"/>
    </xf>
    <xf numFmtId="0" fontId="5" fillId="0" borderId="12" xfId="0" applyFont="1" applyBorder="1"/>
    <xf numFmtId="0" fontId="17" fillId="0" borderId="3" xfId="0" applyFont="1" applyBorder="1" applyAlignment="1">
      <alignment horizontal="center"/>
    </xf>
    <xf numFmtId="0" fontId="41" fillId="0" borderId="0" xfId="0" applyFont="1" applyAlignment="1">
      <alignment vertical="center"/>
    </xf>
    <xf numFmtId="9" fontId="0" fillId="0" borderId="0" xfId="5" applyFont="1" applyAlignment="1">
      <alignment horizontal="center"/>
    </xf>
    <xf numFmtId="0" fontId="23" fillId="0" borderId="50" xfId="0" applyFont="1" applyBorder="1" applyAlignment="1">
      <alignment wrapText="1"/>
    </xf>
    <xf numFmtId="0" fontId="20" fillId="2" borderId="1" xfId="0" applyFont="1" applyFill="1" applyBorder="1" applyAlignment="1">
      <alignment horizontal="center" wrapText="1"/>
    </xf>
    <xf numFmtId="0" fontId="0" fillId="0" borderId="65" xfId="0" applyBorder="1"/>
    <xf numFmtId="0" fontId="41" fillId="0" borderId="66" xfId="0" applyFont="1" applyBorder="1"/>
    <xf numFmtId="0" fontId="41" fillId="0" borderId="65" xfId="0" applyFont="1" applyBorder="1"/>
    <xf numFmtId="0" fontId="15" fillId="0" borderId="28" xfId="0" applyFont="1" applyBorder="1" applyAlignment="1">
      <alignment horizontal="right"/>
    </xf>
    <xf numFmtId="0" fontId="15" fillId="0" borderId="28" xfId="0" applyFont="1" applyBorder="1" applyAlignment="1">
      <alignment horizontal="center"/>
    </xf>
    <xf numFmtId="0" fontId="15" fillId="0" borderId="28" xfId="0" applyFont="1" applyBorder="1"/>
    <xf numFmtId="2" fontId="15" fillId="0" borderId="28" xfId="0" applyNumberFormat="1" applyFont="1" applyBorder="1" applyAlignment="1">
      <alignment horizontal="center"/>
    </xf>
    <xf numFmtId="0" fontId="12" fillId="0" borderId="42" xfId="0" applyFont="1" applyBorder="1" applyAlignment="1">
      <alignment horizontal="center"/>
    </xf>
    <xf numFmtId="0" fontId="23" fillId="0" borderId="0" xfId="0" applyFont="1" applyAlignment="1">
      <alignment horizontal="left" wrapText="1"/>
    </xf>
    <xf numFmtId="0" fontId="52" fillId="0" borderId="0" xfId="0" applyFont="1" applyAlignment="1">
      <alignment vertical="top"/>
    </xf>
    <xf numFmtId="0" fontId="5" fillId="0" borderId="11" xfId="0" applyFont="1" applyBorder="1" applyAlignment="1">
      <alignment horizontal="center"/>
    </xf>
    <xf numFmtId="0" fontId="53" fillId="0" borderId="0" xfId="0" applyFont="1" applyAlignment="1">
      <alignment horizontal="center"/>
    </xf>
    <xf numFmtId="0" fontId="5" fillId="0" borderId="37" xfId="0" applyFont="1" applyBorder="1" applyAlignment="1">
      <alignment vertical="center"/>
    </xf>
    <xf numFmtId="0" fontId="54" fillId="4" borderId="0" xfId="0" applyFont="1" applyFill="1"/>
    <xf numFmtId="0" fontId="15" fillId="0" borderId="28" xfId="0" applyFont="1" applyBorder="1" applyAlignment="1">
      <alignment wrapText="1"/>
    </xf>
    <xf numFmtId="0" fontId="9" fillId="3" borderId="1" xfId="0" applyFont="1" applyFill="1" applyBorder="1" applyAlignment="1">
      <alignment horizontal="center" wrapText="1"/>
    </xf>
    <xf numFmtId="0" fontId="20" fillId="3"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20" fillId="3" borderId="41" xfId="0" applyFont="1" applyFill="1" applyBorder="1" applyAlignment="1">
      <alignment horizontal="center" vertical="top" wrapText="1"/>
    </xf>
    <xf numFmtId="0" fontId="20" fillId="2" borderId="41" xfId="0" applyFont="1" applyFill="1" applyBorder="1" applyAlignment="1">
      <alignment horizontal="center" vertical="top" wrapText="1"/>
    </xf>
    <xf numFmtId="0" fontId="20" fillId="3" borderId="1" xfId="0" applyFont="1" applyFill="1" applyBorder="1" applyAlignment="1">
      <alignment horizontal="center" wrapText="1"/>
    </xf>
    <xf numFmtId="168" fontId="5" fillId="2" borderId="33" xfId="5" applyNumberFormat="1" applyFont="1" applyFill="1" applyBorder="1" applyAlignment="1">
      <alignment horizontal="center"/>
    </xf>
    <xf numFmtId="0" fontId="7" fillId="0" borderId="68" xfId="0" applyFont="1" applyBorder="1" applyAlignment="1">
      <alignment horizontal="center"/>
    </xf>
    <xf numFmtId="0" fontId="7" fillId="0" borderId="49" xfId="0" applyFont="1" applyBorder="1" applyAlignment="1">
      <alignment horizontal="center"/>
    </xf>
    <xf numFmtId="9" fontId="5" fillId="3" borderId="17" xfId="5" applyFont="1" applyFill="1" applyBorder="1" applyAlignment="1">
      <alignment horizontal="center"/>
    </xf>
    <xf numFmtId="0" fontId="5" fillId="5" borderId="39" xfId="0" applyFont="1" applyFill="1" applyBorder="1" applyAlignment="1">
      <alignment horizontal="center"/>
    </xf>
    <xf numFmtId="0" fontId="5" fillId="5" borderId="31" xfId="0" applyFont="1" applyFill="1" applyBorder="1" applyAlignment="1">
      <alignment horizontal="center"/>
    </xf>
    <xf numFmtId="0" fontId="5" fillId="5" borderId="13" xfId="0" applyFont="1" applyFill="1" applyBorder="1" applyAlignment="1">
      <alignment horizontal="center"/>
    </xf>
    <xf numFmtId="0" fontId="5" fillId="5" borderId="69" xfId="0" applyFont="1" applyFill="1" applyBorder="1" applyAlignment="1">
      <alignment horizontal="center"/>
    </xf>
    <xf numFmtId="0" fontId="5" fillId="5" borderId="46" xfId="0" applyFont="1" applyFill="1" applyBorder="1" applyAlignment="1">
      <alignment horizontal="center"/>
    </xf>
    <xf numFmtId="0" fontId="5" fillId="5" borderId="20" xfId="0" applyFont="1" applyFill="1" applyBorder="1" applyAlignment="1">
      <alignment horizontal="center"/>
    </xf>
    <xf numFmtId="0" fontId="5" fillId="5" borderId="26" xfId="0" applyFont="1" applyFill="1" applyBorder="1" applyAlignment="1">
      <alignment horizontal="center"/>
    </xf>
    <xf numFmtId="0" fontId="5" fillId="5" borderId="53" xfId="0" applyFont="1" applyFill="1" applyBorder="1" applyAlignment="1">
      <alignment horizontal="center"/>
    </xf>
    <xf numFmtId="9" fontId="5" fillId="3" borderId="13" xfId="5" applyFont="1" applyFill="1" applyBorder="1" applyAlignment="1">
      <alignment horizontal="center"/>
    </xf>
    <xf numFmtId="9" fontId="5" fillId="3" borderId="67" xfId="5" applyFont="1" applyFill="1" applyBorder="1" applyAlignment="1">
      <alignment horizontal="center"/>
    </xf>
    <xf numFmtId="167" fontId="17" fillId="2" borderId="11" xfId="0" applyNumberFormat="1" applyFont="1" applyFill="1" applyBorder="1" applyAlignment="1">
      <alignment horizontal="center"/>
    </xf>
    <xf numFmtId="167" fontId="12" fillId="3" borderId="45" xfId="0" applyNumberFormat="1" applyFont="1" applyFill="1" applyBorder="1" applyAlignment="1">
      <alignment horizontal="center"/>
    </xf>
    <xf numFmtId="167" fontId="12" fillId="2" borderId="7" xfId="0" applyNumberFormat="1" applyFont="1" applyFill="1" applyBorder="1" applyAlignment="1">
      <alignment horizontal="center"/>
    </xf>
    <xf numFmtId="167" fontId="12" fillId="2" borderId="1" xfId="0" applyNumberFormat="1" applyFont="1" applyFill="1" applyBorder="1" applyAlignment="1">
      <alignment horizontal="center"/>
    </xf>
    <xf numFmtId="167" fontId="12" fillId="3" borderId="1" xfId="0" applyNumberFormat="1" applyFont="1" applyFill="1" applyBorder="1" applyAlignment="1">
      <alignment horizontal="center"/>
    </xf>
    <xf numFmtId="167" fontId="12" fillId="2" borderId="31" xfId="0" applyNumberFormat="1" applyFont="1" applyFill="1" applyBorder="1" applyAlignment="1">
      <alignment horizontal="center"/>
    </xf>
    <xf numFmtId="167" fontId="12" fillId="2" borderId="20" xfId="0" applyNumberFormat="1" applyFont="1" applyFill="1" applyBorder="1" applyAlignment="1">
      <alignment horizontal="center"/>
    </xf>
    <xf numFmtId="167" fontId="12" fillId="2" borderId="16" xfId="0" applyNumberFormat="1" applyFont="1" applyFill="1" applyBorder="1" applyAlignment="1">
      <alignment horizontal="center"/>
    </xf>
    <xf numFmtId="167" fontId="12" fillId="2" borderId="3" xfId="0" applyNumberFormat="1" applyFont="1" applyFill="1" applyBorder="1" applyAlignment="1">
      <alignment horizontal="center"/>
    </xf>
    <xf numFmtId="167" fontId="12" fillId="2" borderId="40" xfId="0" applyNumberFormat="1" applyFont="1" applyFill="1" applyBorder="1" applyAlignment="1">
      <alignment horizontal="center"/>
    </xf>
    <xf numFmtId="167" fontId="12" fillId="2" borderId="6" xfId="0" applyNumberFormat="1" applyFont="1" applyFill="1" applyBorder="1" applyAlignment="1">
      <alignment horizontal="center"/>
    </xf>
    <xf numFmtId="167" fontId="12" fillId="2" borderId="5" xfId="0" applyNumberFormat="1" applyFont="1" applyFill="1" applyBorder="1" applyAlignment="1">
      <alignment horizontal="center"/>
    </xf>
    <xf numFmtId="167" fontId="12" fillId="2" borderId="33" xfId="0" applyNumberFormat="1" applyFont="1" applyFill="1" applyBorder="1" applyAlignment="1">
      <alignment horizontal="center"/>
    </xf>
    <xf numFmtId="167" fontId="12" fillId="2" borderId="21" xfId="0" applyNumberFormat="1" applyFont="1" applyFill="1" applyBorder="1" applyAlignment="1">
      <alignment horizontal="center"/>
    </xf>
    <xf numFmtId="167" fontId="3" fillId="3" borderId="45" xfId="0" applyNumberFormat="1" applyFont="1" applyFill="1" applyBorder="1" applyAlignment="1">
      <alignment horizontal="center"/>
    </xf>
    <xf numFmtId="167" fontId="3" fillId="3" borderId="14" xfId="0" applyNumberFormat="1" applyFont="1" applyFill="1" applyBorder="1" applyAlignment="1">
      <alignment horizontal="center"/>
    </xf>
    <xf numFmtId="167" fontId="5" fillId="2" borderId="7" xfId="0" applyNumberFormat="1" applyFont="1" applyFill="1" applyBorder="1" applyAlignment="1">
      <alignment horizontal="center"/>
    </xf>
    <xf numFmtId="167" fontId="5" fillId="2" borderId="33" xfId="0" applyNumberFormat="1" applyFont="1" applyFill="1" applyBorder="1" applyAlignment="1">
      <alignment horizontal="center"/>
    </xf>
    <xf numFmtId="0" fontId="55" fillId="0" borderId="0" xfId="0" applyFont="1"/>
    <xf numFmtId="0" fontId="3" fillId="5" borderId="48" xfId="0" applyFont="1" applyFill="1" applyBorder="1"/>
    <xf numFmtId="0" fontId="7" fillId="0" borderId="8" xfId="0" applyFont="1" applyBorder="1" applyAlignment="1">
      <alignment horizontal="center" vertical="center"/>
    </xf>
    <xf numFmtId="0" fontId="3" fillId="5" borderId="21" xfId="0" applyFont="1" applyFill="1" applyBorder="1"/>
    <xf numFmtId="0" fontId="20" fillId="13" borderId="41" xfId="0" applyFont="1" applyFill="1" applyBorder="1" applyAlignment="1">
      <alignment horizontal="center" vertical="top" wrapText="1"/>
    </xf>
    <xf numFmtId="0" fontId="20" fillId="5" borderId="1" xfId="0" applyFont="1" applyFill="1" applyBorder="1" applyAlignment="1">
      <alignment horizontal="center" vertical="top" wrapText="1"/>
    </xf>
    <xf numFmtId="0" fontId="5" fillId="0" borderId="34" xfId="0" applyFont="1" applyBorder="1" applyAlignment="1">
      <alignment horizontal="center" vertical="center"/>
    </xf>
    <xf numFmtId="0" fontId="0" fillId="0" borderId="0" xfId="0" applyAlignment="1">
      <alignment vertical="center"/>
    </xf>
    <xf numFmtId="0" fontId="7" fillId="0" borderId="11" xfId="0" applyFont="1" applyBorder="1" applyAlignment="1">
      <alignment horizontal="center" vertical="center"/>
    </xf>
    <xf numFmtId="0" fontId="7" fillId="0" borderId="32" xfId="0" applyFont="1" applyBorder="1" applyAlignment="1">
      <alignment horizontal="left"/>
    </xf>
    <xf numFmtId="2" fontId="7" fillId="0" borderId="32" xfId="0" applyNumberFormat="1" applyFont="1" applyBorder="1" applyAlignment="1">
      <alignment horizontal="center" vertical="center"/>
    </xf>
    <xf numFmtId="0" fontId="58" fillId="0" borderId="0" xfId="0" applyFont="1"/>
    <xf numFmtId="165" fontId="0" fillId="0" borderId="0" xfId="0" applyNumberFormat="1"/>
    <xf numFmtId="0" fontId="5" fillId="0" borderId="0" xfId="0" applyFont="1" applyAlignment="1">
      <alignment horizontal="left" vertical="top" wrapText="1"/>
    </xf>
    <xf numFmtId="0" fontId="5" fillId="15" borderId="8" xfId="0" applyFont="1" applyFill="1" applyBorder="1" applyAlignment="1">
      <alignment horizontal="left"/>
    </xf>
    <xf numFmtId="0" fontId="5" fillId="17" borderId="8" xfId="0" applyFont="1" applyFill="1" applyBorder="1"/>
    <xf numFmtId="2" fontId="5" fillId="17" borderId="13" xfId="0" applyNumberFormat="1" applyFont="1" applyFill="1" applyBorder="1" applyAlignment="1">
      <alignment horizontal="center" vertical="center" wrapText="1"/>
    </xf>
    <xf numFmtId="0" fontId="5" fillId="17" borderId="12" xfId="0" applyFont="1" applyFill="1" applyBorder="1"/>
    <xf numFmtId="2" fontId="5" fillId="17" borderId="70" xfId="0" applyNumberFormat="1" applyFont="1" applyFill="1" applyBorder="1" applyAlignment="1">
      <alignment horizontal="center" vertical="center" wrapText="1"/>
    </xf>
    <xf numFmtId="2" fontId="5" fillId="17" borderId="70" xfId="0" quotePrefix="1" applyNumberFormat="1" applyFont="1" applyFill="1" applyBorder="1" applyAlignment="1">
      <alignment horizontal="center" vertical="center" wrapText="1"/>
    </xf>
    <xf numFmtId="2" fontId="5" fillId="17" borderId="8" xfId="0" applyNumberFormat="1" applyFont="1" applyFill="1" applyBorder="1" applyAlignment="1">
      <alignment horizontal="center" vertical="center"/>
    </xf>
    <xf numFmtId="2" fontId="5" fillId="17" borderId="39" xfId="0" applyNumberFormat="1" applyFont="1" applyFill="1" applyBorder="1" applyAlignment="1">
      <alignment horizontal="center" vertical="center"/>
    </xf>
    <xf numFmtId="0" fontId="5" fillId="15" borderId="9" xfId="0" applyFont="1" applyFill="1" applyBorder="1"/>
    <xf numFmtId="0" fontId="12" fillId="15" borderId="35" xfId="0" applyFont="1" applyFill="1" applyBorder="1" applyAlignment="1">
      <alignment horizontal="left"/>
    </xf>
    <xf numFmtId="2" fontId="12" fillId="15" borderId="31" xfId="0" applyNumberFormat="1" applyFont="1" applyFill="1" applyBorder="1" applyAlignment="1">
      <alignment horizontal="center" vertical="center"/>
    </xf>
    <xf numFmtId="2" fontId="12" fillId="15" borderId="9" xfId="0" applyNumberFormat="1" applyFont="1" applyFill="1" applyBorder="1" applyAlignment="1">
      <alignment horizontal="center" vertical="center"/>
    </xf>
    <xf numFmtId="0" fontId="12" fillId="15" borderId="9" xfId="0" applyFont="1" applyFill="1" applyBorder="1" applyAlignment="1">
      <alignment horizontal="left"/>
    </xf>
    <xf numFmtId="2" fontId="5" fillId="15" borderId="9" xfId="0" applyNumberFormat="1" applyFont="1" applyFill="1" applyBorder="1" applyAlignment="1">
      <alignment horizontal="center" vertical="center"/>
    </xf>
    <xf numFmtId="2" fontId="5" fillId="15" borderId="42" xfId="0" applyNumberFormat="1" applyFont="1" applyFill="1" applyBorder="1" applyAlignment="1">
      <alignment horizontal="center" vertical="center"/>
    </xf>
    <xf numFmtId="0" fontId="5" fillId="15" borderId="9" xfId="0" applyFont="1" applyFill="1" applyBorder="1" applyAlignment="1">
      <alignment horizontal="left"/>
    </xf>
    <xf numFmtId="2" fontId="5" fillId="15" borderId="35" xfId="0" applyNumberFormat="1" applyFont="1" applyFill="1" applyBorder="1" applyAlignment="1">
      <alignment horizontal="center" vertical="center"/>
    </xf>
    <xf numFmtId="0" fontId="5" fillId="16" borderId="8" xfId="0" applyFont="1" applyFill="1" applyBorder="1" applyAlignment="1">
      <alignment wrapText="1"/>
    </xf>
    <xf numFmtId="0" fontId="5" fillId="17" borderId="9" xfId="0" applyFont="1" applyFill="1" applyBorder="1" applyAlignment="1">
      <alignment vertical="center" wrapText="1"/>
    </xf>
    <xf numFmtId="2" fontId="5" fillId="17" borderId="9" xfId="0" applyNumberFormat="1" applyFont="1" applyFill="1" applyBorder="1" applyAlignment="1">
      <alignment horizontal="center" vertical="center"/>
    </xf>
    <xf numFmtId="0" fontId="12" fillId="15" borderId="42" xfId="0" applyFont="1" applyFill="1" applyBorder="1" applyAlignment="1">
      <alignment vertical="center"/>
    </xf>
    <xf numFmtId="2" fontId="12" fillId="15" borderId="42" xfId="0" applyNumberFormat="1" applyFont="1" applyFill="1" applyBorder="1" applyAlignment="1">
      <alignment horizontal="center" vertical="center"/>
    </xf>
    <xf numFmtId="2" fontId="48" fillId="11" borderId="32" xfId="0" applyNumberFormat="1" applyFont="1" applyFill="1" applyBorder="1" applyAlignment="1">
      <alignment horizontal="center" vertical="center"/>
    </xf>
    <xf numFmtId="168" fontId="5" fillId="0" borderId="0" xfId="0" applyNumberFormat="1" applyFont="1"/>
    <xf numFmtId="168" fontId="5" fillId="0" borderId="0" xfId="5" applyNumberFormat="1" applyFont="1"/>
    <xf numFmtId="168" fontId="7" fillId="0" borderId="0" xfId="0" applyNumberFormat="1" applyFont="1"/>
    <xf numFmtId="168" fontId="7" fillId="0" borderId="0" xfId="5" applyNumberFormat="1" applyFont="1"/>
    <xf numFmtId="0" fontId="7" fillId="0" borderId="10" xfId="0" applyFont="1" applyBorder="1" applyAlignment="1">
      <alignment horizontal="center"/>
    </xf>
    <xf numFmtId="0" fontId="17" fillId="0" borderId="43" xfId="0" applyFont="1" applyBorder="1" applyAlignment="1">
      <alignment horizontal="center" vertical="center"/>
    </xf>
    <xf numFmtId="167" fontId="12" fillId="2" borderId="9" xfId="0" applyNumberFormat="1" applyFont="1" applyFill="1" applyBorder="1" applyAlignment="1">
      <alignment horizontal="center"/>
    </xf>
    <xf numFmtId="167" fontId="12" fillId="2" borderId="10" xfId="0" applyNumberFormat="1" applyFont="1" applyFill="1" applyBorder="1" applyAlignment="1">
      <alignment horizontal="center"/>
    </xf>
    <xf numFmtId="167" fontId="12" fillId="2" borderId="42" xfId="0" applyNumberFormat="1" applyFont="1" applyFill="1" applyBorder="1" applyAlignment="1">
      <alignment horizontal="center"/>
    </xf>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xf>
    <xf numFmtId="4" fontId="12" fillId="3" borderId="28" xfId="0" applyNumberFormat="1" applyFont="1" applyFill="1" applyBorder="1" applyAlignment="1">
      <alignment horizontal="center" vertical="center"/>
    </xf>
    <xf numFmtId="2" fontId="5" fillId="16" borderId="8" xfId="0" applyNumberFormat="1" applyFont="1" applyFill="1" applyBorder="1" applyAlignment="1">
      <alignment horizontal="center" vertical="center"/>
    </xf>
    <xf numFmtId="4" fontId="12" fillId="3" borderId="47" xfId="0" applyNumberFormat="1" applyFont="1" applyFill="1" applyBorder="1" applyAlignment="1">
      <alignment horizontal="center" vertical="center"/>
    </xf>
    <xf numFmtId="4" fontId="12" fillId="3" borderId="48" xfId="0" applyNumberFormat="1" applyFont="1" applyFill="1" applyBorder="1" applyAlignment="1">
      <alignment horizontal="center" vertical="center"/>
    </xf>
    <xf numFmtId="4" fontId="12" fillId="3" borderId="52" xfId="0" applyNumberFormat="1" applyFont="1" applyFill="1" applyBorder="1" applyAlignment="1">
      <alignment horizontal="center" vertical="center"/>
    </xf>
    <xf numFmtId="4" fontId="12" fillId="3" borderId="72" xfId="0" applyNumberFormat="1" applyFont="1" applyFill="1" applyBorder="1" applyAlignment="1">
      <alignment horizontal="center" vertical="center"/>
    </xf>
    <xf numFmtId="167" fontId="12" fillId="2" borderId="35" xfId="0" applyNumberFormat="1" applyFont="1" applyFill="1" applyBorder="1" applyAlignment="1">
      <alignment horizontal="center"/>
    </xf>
    <xf numFmtId="0" fontId="16" fillId="0" borderId="0" xfId="1"/>
    <xf numFmtId="0" fontId="60" fillId="0" borderId="28" xfId="0" applyFont="1" applyBorder="1" applyAlignment="1">
      <alignment horizontal="left" vertical="top" wrapText="1"/>
    </xf>
    <xf numFmtId="4" fontId="12" fillId="2" borderId="9" xfId="0" applyNumberFormat="1" applyFont="1" applyFill="1" applyBorder="1" applyAlignment="1">
      <alignment horizontal="center"/>
    </xf>
    <xf numFmtId="4" fontId="12" fillId="2" borderId="10" xfId="0" applyNumberFormat="1" applyFont="1" applyFill="1" applyBorder="1" applyAlignment="1">
      <alignment horizontal="center"/>
    </xf>
    <xf numFmtId="0" fontId="60" fillId="0" borderId="66" xfId="0" applyFont="1" applyBorder="1" applyAlignment="1">
      <alignment horizontal="left" vertical="top" wrapText="1"/>
    </xf>
    <xf numFmtId="0" fontId="60" fillId="0" borderId="28" xfId="0" applyFont="1" applyBorder="1" applyAlignment="1">
      <alignment horizontal="right" vertical="top" wrapText="1"/>
    </xf>
    <xf numFmtId="0" fontId="60" fillId="0" borderId="0" xfId="0" applyFont="1" applyAlignment="1">
      <alignment horizontal="left" vertical="top" wrapText="1"/>
    </xf>
    <xf numFmtId="0" fontId="27" fillId="0" borderId="0" xfId="0" applyFont="1" applyAlignment="1">
      <alignment horizontal="center"/>
    </xf>
    <xf numFmtId="0" fontId="28" fillId="0" borderId="0" xfId="0" applyFont="1" applyAlignment="1">
      <alignment vertical="top"/>
    </xf>
    <xf numFmtId="0" fontId="35" fillId="0" borderId="66" xfId="0" applyFont="1" applyBorder="1"/>
    <xf numFmtId="0" fontId="5" fillId="0" borderId="65" xfId="0" applyFont="1" applyBorder="1" applyAlignment="1">
      <alignment horizontal="center" vertical="center" wrapText="1"/>
    </xf>
    <xf numFmtId="0" fontId="0" fillId="0" borderId="66" xfId="0" applyBorder="1"/>
    <xf numFmtId="0" fontId="5" fillId="0" borderId="66" xfId="0" applyFont="1" applyBorder="1" applyAlignment="1">
      <alignment horizontal="left"/>
    </xf>
    <xf numFmtId="0" fontId="0" fillId="0" borderId="65" xfId="0" applyBorder="1" applyAlignment="1">
      <alignment horizontal="center" vertical="center"/>
    </xf>
    <xf numFmtId="0" fontId="14" fillId="0" borderId="66" xfId="0" applyFont="1" applyBorder="1"/>
    <xf numFmtId="0" fontId="5" fillId="0" borderId="66" xfId="0" applyFont="1" applyBorder="1"/>
    <xf numFmtId="0" fontId="55" fillId="0" borderId="66" xfId="0" applyFont="1" applyBorder="1"/>
    <xf numFmtId="2" fontId="5" fillId="17" borderId="9" xfId="0" applyNumberFormat="1" applyFont="1" applyFill="1" applyBorder="1" applyAlignment="1">
      <alignment horizontal="center" vertical="center" wrapText="1"/>
    </xf>
    <xf numFmtId="2" fontId="5" fillId="17" borderId="12" xfId="0" applyNumberFormat="1" applyFont="1" applyFill="1" applyBorder="1" applyAlignment="1">
      <alignment horizontal="center" vertical="center" wrapText="1"/>
    </xf>
    <xf numFmtId="2" fontId="48" fillId="11" borderId="32" xfId="0" applyNumberFormat="1" applyFont="1" applyFill="1" applyBorder="1" applyAlignment="1">
      <alignment horizontal="left" vertical="center"/>
    </xf>
    <xf numFmtId="2" fontId="5" fillId="15" borderId="8" xfId="0" applyNumberFormat="1" applyFont="1" applyFill="1" applyBorder="1" applyAlignment="1">
      <alignment horizontal="center" vertical="center"/>
    </xf>
    <xf numFmtId="2" fontId="5" fillId="15" borderId="39" xfId="0" applyNumberFormat="1" applyFont="1" applyFill="1" applyBorder="1" applyAlignment="1">
      <alignment horizontal="center" vertical="center"/>
    </xf>
    <xf numFmtId="0" fontId="7" fillId="0" borderId="9" xfId="0" applyFont="1" applyBorder="1" applyAlignment="1">
      <alignment horizontal="center" vertical="center"/>
    </xf>
    <xf numFmtId="0" fontId="17" fillId="0" borderId="8" xfId="0" applyFont="1" applyBorder="1" applyAlignment="1">
      <alignment horizontal="center" vertical="center" wrapText="1"/>
    </xf>
    <xf numFmtId="0" fontId="12" fillId="17" borderId="9" xfId="0" applyFont="1" applyFill="1" applyBorder="1"/>
    <xf numFmtId="0" fontId="7" fillId="0" borderId="43" xfId="0" applyFont="1" applyBorder="1" applyAlignment="1">
      <alignment horizontal="center" vertical="center"/>
    </xf>
    <xf numFmtId="0" fontId="17" fillId="0" borderId="10" xfId="0" applyFont="1" applyBorder="1" applyAlignment="1">
      <alignment horizontal="center" vertical="center"/>
    </xf>
    <xf numFmtId="0" fontId="5" fillId="0" borderId="38" xfId="0" applyFont="1" applyBorder="1" applyAlignment="1">
      <alignment horizontal="center"/>
    </xf>
    <xf numFmtId="4" fontId="5" fillId="3" borderId="31" xfId="0" applyNumberFormat="1" applyFont="1" applyFill="1" applyBorder="1" applyAlignment="1">
      <alignment horizontal="center"/>
    </xf>
    <xf numFmtId="2" fontId="5" fillId="2" borderId="19" xfId="0" applyNumberFormat="1" applyFont="1" applyFill="1" applyBorder="1" applyAlignment="1">
      <alignment horizontal="center"/>
    </xf>
    <xf numFmtId="4" fontId="5" fillId="3" borderId="69" xfId="0" applyNumberFormat="1" applyFont="1" applyFill="1" applyBorder="1" applyAlignment="1">
      <alignment horizontal="center"/>
    </xf>
    <xf numFmtId="167" fontId="7" fillId="0" borderId="17" xfId="0" applyNumberFormat="1" applyFont="1" applyBorder="1" applyAlignment="1">
      <alignment horizontal="center" vertical="center"/>
    </xf>
    <xf numFmtId="4" fontId="12" fillId="3" borderId="31" xfId="0" applyNumberFormat="1" applyFont="1" applyFill="1" applyBorder="1" applyAlignment="1">
      <alignment horizontal="center" vertical="center"/>
    </xf>
    <xf numFmtId="0" fontId="12" fillId="0" borderId="0" xfId="0" applyFont="1" applyAlignment="1">
      <alignment horizontal="center" vertical="center"/>
    </xf>
    <xf numFmtId="2" fontId="5" fillId="2" borderId="35" xfId="0" applyNumberFormat="1" applyFont="1" applyFill="1" applyBorder="1" applyAlignment="1">
      <alignment horizontal="center" vertical="center"/>
    </xf>
    <xf numFmtId="2" fontId="5" fillId="2" borderId="9" xfId="0" applyNumberFormat="1" applyFont="1" applyFill="1" applyBorder="1" applyAlignment="1">
      <alignment horizontal="center" vertical="center"/>
    </xf>
    <xf numFmtId="4" fontId="5" fillId="3" borderId="67" xfId="0" applyNumberFormat="1" applyFont="1" applyFill="1" applyBorder="1" applyAlignment="1">
      <alignment horizontal="center"/>
    </xf>
    <xf numFmtId="0" fontId="7" fillId="0" borderId="17" xfId="0" applyFont="1" applyBorder="1" applyAlignment="1">
      <alignment horizontal="center" vertical="center"/>
    </xf>
    <xf numFmtId="0" fontId="17" fillId="0" borderId="18" xfId="0" applyFont="1" applyBorder="1" applyAlignment="1">
      <alignment horizontal="center"/>
    </xf>
    <xf numFmtId="0" fontId="17" fillId="0" borderId="9" xfId="0" applyFont="1" applyBorder="1" applyAlignment="1">
      <alignment horizontal="center" vertical="center"/>
    </xf>
    <xf numFmtId="4" fontId="12" fillId="3" borderId="67" xfId="4" applyNumberFormat="1" applyFont="1" applyFill="1" applyBorder="1" applyAlignment="1">
      <alignment horizontal="center" vertical="center"/>
    </xf>
    <xf numFmtId="0" fontId="0" fillId="0" borderId="77" xfId="0" applyBorder="1"/>
    <xf numFmtId="2" fontId="5" fillId="5" borderId="28" xfId="0" applyNumberFormat="1" applyFont="1" applyFill="1" applyBorder="1" applyAlignment="1">
      <alignment horizontal="center"/>
    </xf>
    <xf numFmtId="2" fontId="5" fillId="5" borderId="52" xfId="0" applyNumberFormat="1" applyFont="1" applyFill="1" applyBorder="1" applyAlignment="1">
      <alignment horizontal="center"/>
    </xf>
    <xf numFmtId="0" fontId="17" fillId="0" borderId="0" xfId="0" applyFont="1" applyAlignment="1">
      <alignment horizontal="center"/>
    </xf>
    <xf numFmtId="0" fontId="17" fillId="0" borderId="77" xfId="0" applyFont="1" applyBorder="1" applyAlignment="1">
      <alignment horizontal="center"/>
    </xf>
    <xf numFmtId="0" fontId="7" fillId="0" borderId="77" xfId="0" applyFont="1" applyBorder="1" applyAlignment="1">
      <alignment horizontal="center" vertical="center"/>
    </xf>
    <xf numFmtId="0" fontId="7" fillId="0" borderId="28" xfId="0" applyFont="1" applyBorder="1" applyAlignment="1">
      <alignment horizontal="center" vertical="center"/>
    </xf>
    <xf numFmtId="0" fontId="17" fillId="0" borderId="28" xfId="0" applyFont="1" applyBorder="1" applyAlignment="1">
      <alignment horizontal="center"/>
    </xf>
    <xf numFmtId="4" fontId="7" fillId="0" borderId="28" xfId="0" applyNumberFormat="1" applyFont="1" applyBorder="1" applyAlignment="1">
      <alignment vertical="center"/>
    </xf>
    <xf numFmtId="0" fontId="5" fillId="0" borderId="28" xfId="0" applyFont="1" applyBorder="1" applyAlignment="1">
      <alignment horizontal="center"/>
    </xf>
    <xf numFmtId="0" fontId="7" fillId="0" borderId="70" xfId="0" applyFont="1" applyBorder="1" applyAlignment="1">
      <alignment horizontal="center" vertical="center"/>
    </xf>
    <xf numFmtId="0" fontId="17" fillId="0" borderId="10" xfId="0" applyFont="1" applyBorder="1" applyAlignment="1">
      <alignment horizontal="center"/>
    </xf>
    <xf numFmtId="0" fontId="5" fillId="0" borderId="42" xfId="0" applyFont="1" applyBorder="1" applyAlignment="1">
      <alignment horizontal="center"/>
    </xf>
    <xf numFmtId="4" fontId="5" fillId="2" borderId="9" xfId="0" applyNumberFormat="1" applyFont="1" applyFill="1" applyBorder="1" applyAlignment="1">
      <alignment horizontal="center" vertical="center"/>
    </xf>
    <xf numFmtId="4" fontId="5" fillId="2" borderId="10" xfId="0" applyNumberFormat="1" applyFont="1" applyFill="1" applyBorder="1" applyAlignment="1">
      <alignment horizontal="center" vertical="center"/>
    </xf>
    <xf numFmtId="0" fontId="5" fillId="0" borderId="0" xfId="0" applyFont="1" applyAlignment="1">
      <alignment vertical="center"/>
    </xf>
    <xf numFmtId="4" fontId="7" fillId="2" borderId="10" xfId="0" applyNumberFormat="1" applyFont="1" applyFill="1" applyBorder="1" applyAlignment="1">
      <alignment horizontal="center" vertical="center"/>
    </xf>
    <xf numFmtId="0" fontId="7" fillId="0" borderId="20" xfId="0" applyFont="1" applyBorder="1" applyAlignment="1">
      <alignment horizontal="center" vertical="center"/>
    </xf>
    <xf numFmtId="0" fontId="17" fillId="0" borderId="21" xfId="0" applyFont="1" applyBorder="1" applyAlignment="1">
      <alignment horizontal="center"/>
    </xf>
    <xf numFmtId="167" fontId="7" fillId="0" borderId="20" xfId="0" applyNumberFormat="1" applyFont="1" applyBorder="1" applyAlignment="1">
      <alignment horizontal="center" vertical="center"/>
    </xf>
    <xf numFmtId="0" fontId="17" fillId="0" borderId="78" xfId="0" applyFont="1" applyBorder="1" applyAlignment="1">
      <alignment horizontal="center"/>
    </xf>
    <xf numFmtId="0" fontId="17" fillId="0" borderId="39" xfId="0" applyFont="1" applyBorder="1" applyAlignment="1">
      <alignment horizontal="center" vertical="center"/>
    </xf>
    <xf numFmtId="0" fontId="12" fillId="0" borderId="13" xfId="0" applyFont="1" applyBorder="1" applyAlignment="1">
      <alignment horizontal="center" vertical="center"/>
    </xf>
    <xf numFmtId="0" fontId="7" fillId="0" borderId="39"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12" fillId="0" borderId="42" xfId="0" applyFont="1" applyBorder="1" applyAlignment="1">
      <alignment horizontal="center" vertical="center"/>
    </xf>
    <xf numFmtId="0" fontId="60" fillId="0" borderId="0" xfId="0" applyFont="1" applyAlignment="1">
      <alignment horizontal="center" vertical="center" wrapText="1"/>
    </xf>
    <xf numFmtId="0" fontId="17" fillId="0" borderId="0" xfId="0" applyFont="1" applyAlignment="1">
      <alignment horizontal="center" vertical="center"/>
    </xf>
    <xf numFmtId="167" fontId="12" fillId="3" borderId="46" xfId="0" applyNumberFormat="1" applyFont="1" applyFill="1" applyBorder="1" applyAlignment="1">
      <alignment horizontal="center" vertical="center" wrapText="1"/>
    </xf>
    <xf numFmtId="0" fontId="17" fillId="0" borderId="32" xfId="0" applyFont="1" applyBorder="1" applyAlignment="1">
      <alignment horizontal="center" vertical="center"/>
    </xf>
    <xf numFmtId="4" fontId="5" fillId="2" borderId="42" xfId="0" applyNumberFormat="1" applyFont="1" applyFill="1" applyBorder="1" applyAlignment="1">
      <alignment horizontal="center" vertical="center"/>
    </xf>
    <xf numFmtId="0" fontId="7" fillId="0" borderId="80" xfId="0" applyFont="1" applyBorder="1" applyAlignment="1">
      <alignment horizontal="center" vertical="center"/>
    </xf>
    <xf numFmtId="167" fontId="12" fillId="3" borderId="9" xfId="0" applyNumberFormat="1" applyFont="1" applyFill="1" applyBorder="1" applyAlignment="1">
      <alignment horizontal="center" vertical="center" wrapText="1"/>
    </xf>
    <xf numFmtId="0" fontId="5" fillId="0" borderId="49" xfId="0" applyFont="1" applyBorder="1"/>
    <xf numFmtId="167" fontId="12" fillId="3" borderId="35"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xf>
    <xf numFmtId="0" fontId="17" fillId="0" borderId="32" xfId="0" applyFont="1" applyBorder="1" applyAlignment="1">
      <alignment horizontal="center"/>
    </xf>
    <xf numFmtId="0" fontId="0" fillId="0" borderId="39" xfId="0" applyBorder="1" applyAlignment="1">
      <alignment horizontal="center" vertical="center"/>
    </xf>
    <xf numFmtId="2" fontId="5" fillId="2" borderId="3" xfId="0" applyNumberFormat="1" applyFont="1" applyFill="1" applyBorder="1" applyAlignment="1">
      <alignment horizontal="center"/>
    </xf>
    <xf numFmtId="2" fontId="5" fillId="2" borderId="5" xfId="0" applyNumberFormat="1" applyFont="1" applyFill="1" applyBorder="1" applyAlignment="1">
      <alignment horizontal="center"/>
    </xf>
    <xf numFmtId="4" fontId="5" fillId="3" borderId="36" xfId="0" applyNumberFormat="1" applyFont="1" applyFill="1" applyBorder="1" applyAlignment="1">
      <alignment horizontal="center"/>
    </xf>
    <xf numFmtId="4" fontId="12" fillId="5" borderId="7" xfId="0" applyNumberFormat="1" applyFont="1" applyFill="1" applyBorder="1" applyAlignment="1">
      <alignment vertical="center"/>
    </xf>
    <xf numFmtId="4" fontId="12" fillId="5" borderId="40" xfId="0" applyNumberFormat="1" applyFont="1" applyFill="1" applyBorder="1" applyAlignment="1">
      <alignment vertical="center"/>
    </xf>
    <xf numFmtId="4" fontId="12" fillId="3" borderId="20" xfId="0" applyNumberFormat="1" applyFont="1" applyFill="1" applyBorder="1" applyAlignment="1">
      <alignment horizontal="center" vertical="center"/>
    </xf>
    <xf numFmtId="2" fontId="5" fillId="2" borderId="21" xfId="0" applyNumberFormat="1" applyFont="1" applyFill="1" applyBorder="1" applyAlignment="1">
      <alignment horizontal="center"/>
    </xf>
    <xf numFmtId="0" fontId="5" fillId="0" borderId="8" xfId="0" applyFont="1" applyBorder="1" applyAlignment="1">
      <alignment horizontal="center" vertical="center"/>
    </xf>
    <xf numFmtId="2" fontId="5" fillId="2" borderId="10" xfId="0" applyNumberFormat="1" applyFont="1" applyFill="1" applyBorder="1" applyAlignment="1">
      <alignment horizontal="center" vertical="center"/>
    </xf>
    <xf numFmtId="167" fontId="7" fillId="0" borderId="43" xfId="0" applyNumberFormat="1" applyFont="1" applyBorder="1" applyAlignment="1">
      <alignment horizontal="center" vertical="center"/>
    </xf>
    <xf numFmtId="0" fontId="17" fillId="0" borderId="39" xfId="0" applyFont="1" applyBorder="1" applyAlignment="1">
      <alignment horizontal="center"/>
    </xf>
    <xf numFmtId="2" fontId="5" fillId="5" borderId="3" xfId="0" applyNumberFormat="1" applyFont="1" applyFill="1" applyBorder="1" applyAlignment="1">
      <alignment horizontal="center"/>
    </xf>
    <xf numFmtId="2" fontId="5" fillId="5" borderId="5" xfId="0" applyNumberFormat="1" applyFont="1" applyFill="1" applyBorder="1" applyAlignment="1">
      <alignment horizontal="center"/>
    </xf>
    <xf numFmtId="0" fontId="17" fillId="0" borderId="30" xfId="0" applyFont="1" applyBorder="1" applyAlignment="1">
      <alignment horizontal="center"/>
    </xf>
    <xf numFmtId="0" fontId="7" fillId="0" borderId="45" xfId="0" applyFont="1" applyBorder="1" applyAlignment="1">
      <alignment horizontal="center" vertical="center"/>
    </xf>
    <xf numFmtId="4" fontId="0" fillId="0" borderId="13" xfId="0" applyNumberFormat="1" applyBorder="1" applyAlignment="1">
      <alignment horizontal="center" vertical="center"/>
    </xf>
    <xf numFmtId="0" fontId="3" fillId="13" borderId="42" xfId="0" applyFont="1" applyFill="1" applyBorder="1" applyAlignment="1">
      <alignment horizontal="center" vertical="center"/>
    </xf>
    <xf numFmtId="4" fontId="12" fillId="2" borderId="42" xfId="0" applyNumberFormat="1" applyFont="1" applyFill="1" applyBorder="1" applyAlignment="1">
      <alignment horizontal="center"/>
    </xf>
    <xf numFmtId="4" fontId="17" fillId="2" borderId="32" xfId="0" applyNumberFormat="1" applyFont="1" applyFill="1" applyBorder="1" applyAlignment="1">
      <alignment horizontal="center"/>
    </xf>
    <xf numFmtId="4" fontId="12" fillId="0" borderId="71" xfId="0" applyNumberFormat="1" applyFont="1" applyBorder="1" applyAlignment="1">
      <alignment horizontal="center" vertical="center"/>
    </xf>
    <xf numFmtId="167" fontId="12" fillId="0" borderId="49" xfId="0" applyNumberFormat="1" applyFont="1" applyBorder="1" applyAlignment="1">
      <alignment horizontal="center"/>
    </xf>
    <xf numFmtId="0" fontId="7" fillId="0" borderId="39" xfId="0" applyFont="1" applyBorder="1" applyAlignment="1">
      <alignment horizontal="center"/>
    </xf>
    <xf numFmtId="167" fontId="5" fillId="0" borderId="43" xfId="0" applyNumberFormat="1" applyFont="1" applyBorder="1" applyAlignment="1">
      <alignment horizontal="center" vertical="center"/>
    </xf>
    <xf numFmtId="0" fontId="5" fillId="0" borderId="39" xfId="0" applyFont="1" applyBorder="1"/>
    <xf numFmtId="4" fontId="12" fillId="2" borderId="9" xfId="0" applyNumberFormat="1" applyFont="1" applyFill="1" applyBorder="1" applyAlignment="1">
      <alignment horizontal="center" vertical="center"/>
    </xf>
    <xf numFmtId="167" fontId="12" fillId="0" borderId="0" xfId="0" applyNumberFormat="1" applyFont="1" applyAlignment="1">
      <alignment horizontal="center" vertical="center"/>
    </xf>
    <xf numFmtId="167" fontId="12" fillId="0" borderId="39" xfId="0" applyNumberFormat="1" applyFont="1" applyBorder="1" applyAlignment="1">
      <alignment horizontal="center" vertical="center"/>
    </xf>
    <xf numFmtId="4" fontId="7" fillId="2" borderId="8" xfId="0" applyNumberFormat="1" applyFont="1" applyFill="1" applyBorder="1" applyAlignment="1">
      <alignment horizontal="center" vertical="center"/>
    </xf>
    <xf numFmtId="167" fontId="12" fillId="0" borderId="73" xfId="0" applyNumberFormat="1" applyFont="1" applyBorder="1" applyAlignment="1">
      <alignment horizontal="center" vertical="center"/>
    </xf>
    <xf numFmtId="4" fontId="7" fillId="0" borderId="0" xfId="0" applyNumberFormat="1" applyFont="1" applyAlignment="1">
      <alignment horizontal="center" vertical="center"/>
    </xf>
    <xf numFmtId="167" fontId="5" fillId="3" borderId="7" xfId="0" applyNumberFormat="1" applyFont="1" applyFill="1" applyBorder="1" applyAlignment="1">
      <alignment horizontal="center"/>
    </xf>
    <xf numFmtId="167" fontId="5" fillId="3" borderId="1" xfId="0" applyNumberFormat="1" applyFont="1" applyFill="1" applyBorder="1" applyAlignment="1">
      <alignment horizontal="center"/>
    </xf>
    <xf numFmtId="167" fontId="12" fillId="3" borderId="3" xfId="0" applyNumberFormat="1" applyFont="1" applyFill="1" applyBorder="1" applyAlignment="1">
      <alignment horizontal="center"/>
    </xf>
    <xf numFmtId="0" fontId="12" fillId="0" borderId="43" xfId="0" applyFont="1" applyBorder="1" applyAlignment="1">
      <alignment horizontal="center"/>
    </xf>
    <xf numFmtId="0" fontId="17" fillId="0" borderId="47" xfId="0" applyFont="1" applyBorder="1" applyAlignment="1">
      <alignment horizontal="center" vertical="center" wrapText="1"/>
    </xf>
    <xf numFmtId="0" fontId="17" fillId="0" borderId="47" xfId="0" applyFont="1" applyBorder="1" applyAlignment="1">
      <alignment horizontal="center" wrapText="1"/>
    </xf>
    <xf numFmtId="0" fontId="17" fillId="0" borderId="47" xfId="0" applyFont="1" applyBorder="1" applyAlignment="1">
      <alignment horizontal="center"/>
    </xf>
    <xf numFmtId="164" fontId="3" fillId="3" borderId="1" xfId="0" applyNumberFormat="1" applyFont="1" applyFill="1" applyBorder="1" applyAlignment="1">
      <alignment horizontal="center"/>
    </xf>
    <xf numFmtId="164" fontId="5" fillId="2" borderId="1" xfId="5" applyNumberFormat="1" applyFont="1" applyFill="1" applyBorder="1" applyAlignment="1">
      <alignment horizontal="center"/>
    </xf>
    <xf numFmtId="0" fontId="12" fillId="15" borderId="72" xfId="0" applyFont="1" applyFill="1" applyBorder="1"/>
    <xf numFmtId="0" fontId="17" fillId="0" borderId="0" xfId="0" applyFont="1"/>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3" fillId="0" borderId="59"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166" fontId="5" fillId="0" borderId="0" xfId="0" applyNumberFormat="1" applyFont="1" applyAlignment="1">
      <alignment horizontal="center" vertical="center"/>
    </xf>
    <xf numFmtId="0" fontId="17" fillId="0" borderId="8" xfId="0" applyFont="1" applyBorder="1" applyAlignment="1">
      <alignment horizontal="center" wrapText="1"/>
    </xf>
    <xf numFmtId="167" fontId="17" fillId="2" borderId="31" xfId="0" applyNumberFormat="1" applyFont="1" applyFill="1" applyBorder="1" applyAlignment="1">
      <alignment horizontal="center"/>
    </xf>
    <xf numFmtId="167" fontId="17" fillId="2" borderId="7" xfId="0" applyNumberFormat="1" applyFont="1" applyFill="1" applyBorder="1" applyAlignment="1">
      <alignment horizontal="center"/>
    </xf>
    <xf numFmtId="167" fontId="17" fillId="2" borderId="36" xfId="0" applyNumberFormat="1" applyFont="1" applyFill="1" applyBorder="1" applyAlignment="1">
      <alignment horizont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167" fontId="17" fillId="2" borderId="1" xfId="0" applyNumberFormat="1" applyFont="1" applyFill="1" applyBorder="1" applyAlignment="1">
      <alignment horizontal="center"/>
    </xf>
    <xf numFmtId="167" fontId="17" fillId="2" borderId="19" xfId="0" applyNumberFormat="1" applyFont="1" applyFill="1" applyBorder="1" applyAlignment="1">
      <alignment horizontal="center"/>
    </xf>
    <xf numFmtId="0" fontId="17" fillId="0" borderId="35" xfId="0" applyFont="1" applyBorder="1" applyAlignment="1">
      <alignment horizontal="center" wrapText="1"/>
    </xf>
    <xf numFmtId="0" fontId="5" fillId="0" borderId="10" xfId="0" applyFont="1" applyBorder="1" applyAlignment="1">
      <alignment horizontal="center"/>
    </xf>
    <xf numFmtId="167" fontId="5" fillId="3" borderId="36" xfId="0" applyNumberFormat="1" applyFont="1" applyFill="1" applyBorder="1" applyAlignment="1">
      <alignment horizontal="center"/>
    </xf>
    <xf numFmtId="167" fontId="5" fillId="3" borderId="45" xfId="0" applyNumberFormat="1" applyFont="1" applyFill="1" applyBorder="1" applyAlignment="1">
      <alignment horizontal="center"/>
    </xf>
    <xf numFmtId="167" fontId="5" fillId="2" borderId="40" xfId="0" applyNumberFormat="1" applyFont="1" applyFill="1" applyBorder="1" applyAlignment="1">
      <alignment horizontal="center"/>
    </xf>
    <xf numFmtId="167" fontId="6" fillId="2" borderId="42" xfId="0" applyNumberFormat="1" applyFont="1" applyFill="1" applyBorder="1" applyAlignment="1">
      <alignment horizontal="center"/>
    </xf>
    <xf numFmtId="167" fontId="6" fillId="2" borderId="35" xfId="0" applyNumberFormat="1" applyFont="1" applyFill="1" applyBorder="1" applyAlignment="1">
      <alignment horizontal="center"/>
    </xf>
    <xf numFmtId="167" fontId="8" fillId="2" borderId="40" xfId="0" applyNumberFormat="1" applyFont="1" applyFill="1" applyBorder="1" applyAlignment="1">
      <alignment horizontal="center"/>
    </xf>
    <xf numFmtId="167" fontId="12" fillId="2" borderId="19" xfId="0" applyNumberFormat="1" applyFont="1" applyFill="1" applyBorder="1" applyAlignment="1">
      <alignment horizontal="center"/>
    </xf>
    <xf numFmtId="0" fontId="5" fillId="0" borderId="1" xfId="0" applyFont="1" applyBorder="1" applyAlignment="1">
      <alignment horizontal="center"/>
    </xf>
    <xf numFmtId="4" fontId="0" fillId="0" borderId="0" xfId="0" applyNumberFormat="1" applyAlignment="1">
      <alignment horizontal="center" vertical="center"/>
    </xf>
    <xf numFmtId="4" fontId="60" fillId="0" borderId="0" xfId="0" applyNumberFormat="1" applyFont="1" applyAlignment="1">
      <alignment horizontal="left" vertical="top" wrapText="1"/>
    </xf>
    <xf numFmtId="4" fontId="15" fillId="0" borderId="0" xfId="0" applyNumberFormat="1" applyFont="1" applyAlignment="1">
      <alignment vertical="top" wrapText="1"/>
    </xf>
    <xf numFmtId="4" fontId="17" fillId="0" borderId="43" xfId="0" applyNumberFormat="1" applyFont="1" applyBorder="1" applyAlignment="1">
      <alignment horizontal="center" vertical="center" wrapText="1"/>
    </xf>
    <xf numFmtId="4" fontId="12" fillId="3" borderId="9" xfId="0" applyNumberFormat="1" applyFont="1" applyFill="1" applyBorder="1" applyAlignment="1">
      <alignment horizontal="center"/>
    </xf>
    <xf numFmtId="4" fontId="17" fillId="0" borderId="47" xfId="0" applyNumberFormat="1" applyFont="1" applyBorder="1" applyAlignment="1">
      <alignment horizontal="center" vertical="center" wrapText="1"/>
    </xf>
    <xf numFmtId="4" fontId="0" fillId="0" borderId="32" xfId="0" applyNumberFormat="1" applyBorder="1"/>
    <xf numFmtId="0" fontId="25" fillId="0" borderId="0" xfId="0" applyFont="1" applyAlignment="1">
      <alignment horizontal="center"/>
    </xf>
    <xf numFmtId="0" fontId="12" fillId="0" borderId="13" xfId="0" applyFont="1" applyBorder="1" applyAlignment="1">
      <alignment horizontal="center"/>
    </xf>
    <xf numFmtId="0" fontId="7" fillId="0" borderId="35" xfId="0" applyFont="1" applyBorder="1" applyAlignment="1">
      <alignment horizontal="center" vertical="center"/>
    </xf>
    <xf numFmtId="167" fontId="12" fillId="3" borderId="26" xfId="0" applyNumberFormat="1" applyFont="1" applyFill="1" applyBorder="1" applyAlignment="1">
      <alignment horizontal="center" vertical="center"/>
    </xf>
    <xf numFmtId="167" fontId="12" fillId="3" borderId="10" xfId="0" applyNumberFormat="1" applyFont="1" applyFill="1" applyBorder="1" applyAlignment="1">
      <alignment horizontal="center" vertical="center"/>
    </xf>
    <xf numFmtId="165" fontId="3" fillId="13" borderId="43" xfId="0" applyNumberFormat="1" applyFont="1" applyFill="1" applyBorder="1" applyAlignment="1">
      <alignment horizontal="center" vertical="center"/>
    </xf>
    <xf numFmtId="0" fontId="3" fillId="13" borderId="39" xfId="0" applyFont="1" applyFill="1" applyBorder="1" applyAlignment="1">
      <alignment horizontal="center" vertical="center"/>
    </xf>
    <xf numFmtId="0" fontId="3" fillId="5" borderId="26" xfId="0" applyFont="1" applyFill="1" applyBorder="1"/>
    <xf numFmtId="0" fontId="3" fillId="13" borderId="53" xfId="0" applyFont="1" applyFill="1" applyBorder="1" applyAlignment="1">
      <alignment horizontal="center" vertical="center"/>
    </xf>
    <xf numFmtId="165" fontId="3" fillId="0" borderId="18" xfId="0" applyNumberFormat="1" applyFont="1" applyBorder="1" applyAlignment="1">
      <alignment horizontal="center" vertical="center"/>
    </xf>
    <xf numFmtId="0" fontId="17" fillId="0" borderId="3" xfId="0" applyFont="1" applyBorder="1" applyAlignment="1">
      <alignment horizontal="center" wrapText="1"/>
    </xf>
    <xf numFmtId="167" fontId="0" fillId="0" borderId="0" xfId="0" applyNumberFormat="1"/>
    <xf numFmtId="2" fontId="14" fillId="0" borderId="0" xfId="0" applyNumberFormat="1" applyFont="1" applyAlignment="1">
      <alignment horizontal="center"/>
    </xf>
    <xf numFmtId="0" fontId="0" fillId="0" borderId="0" xfId="0" applyAlignment="1">
      <alignment wrapText="1"/>
    </xf>
    <xf numFmtId="0" fontId="48" fillId="9" borderId="3" xfId="0" applyFont="1" applyFill="1" applyBorder="1"/>
    <xf numFmtId="0" fontId="48" fillId="9" borderId="7" xfId="0" applyFont="1" applyFill="1" applyBorder="1"/>
    <xf numFmtId="0" fontId="7" fillId="8" borderId="3" xfId="0" applyFont="1" applyFill="1" applyBorder="1"/>
    <xf numFmtId="0" fontId="7" fillId="8" borderId="7" xfId="0" applyFont="1" applyFill="1" applyBorder="1"/>
    <xf numFmtId="0" fontId="7" fillId="8" borderId="1" xfId="0" applyFont="1" applyFill="1" applyBorder="1" applyAlignment="1">
      <alignment horizontal="center"/>
    </xf>
    <xf numFmtId="0" fontId="7" fillId="8" borderId="6" xfId="0" applyFont="1" applyFill="1" applyBorder="1" applyAlignment="1">
      <alignment vertical="center"/>
    </xf>
    <xf numFmtId="0" fontId="5" fillId="0" borderId="3"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1" xfId="0" applyFont="1" applyBorder="1"/>
    <xf numFmtId="0" fontId="12" fillId="0" borderId="1" xfId="0" applyFont="1" applyBorder="1"/>
    <xf numFmtId="0" fontId="71" fillId="0" borderId="0" xfId="0" applyFont="1"/>
    <xf numFmtId="0" fontId="72" fillId="0" borderId="0" xfId="0" applyFont="1"/>
    <xf numFmtId="165" fontId="73" fillId="0" borderId="0" xfId="0" applyNumberFormat="1" applyFont="1" applyAlignment="1">
      <alignment horizontal="center"/>
    </xf>
    <xf numFmtId="0" fontId="72" fillId="0" borderId="0" xfId="0" applyFont="1" applyAlignment="1">
      <alignment horizontal="left"/>
    </xf>
    <xf numFmtId="0" fontId="73" fillId="0" borderId="0" xfId="0" applyFont="1"/>
    <xf numFmtId="165" fontId="5" fillId="0" borderId="1" xfId="0" applyNumberFormat="1" applyFont="1" applyBorder="1" applyAlignment="1">
      <alignment horizontal="center"/>
    </xf>
    <xf numFmtId="165" fontId="12" fillId="0" borderId="1" xfId="0" applyNumberFormat="1" applyFont="1" applyBorder="1" applyAlignment="1">
      <alignment horizontal="center"/>
    </xf>
    <xf numFmtId="0" fontId="7" fillId="8" borderId="6" xfId="0" applyFont="1" applyFill="1" applyBorder="1" applyAlignment="1">
      <alignment horizontal="center"/>
    </xf>
    <xf numFmtId="166" fontId="5" fillId="0" borderId="1" xfId="0" applyNumberFormat="1" applyFont="1" applyBorder="1" applyAlignment="1">
      <alignment horizontal="center"/>
    </xf>
    <xf numFmtId="0" fontId="7" fillId="8" borderId="1" xfId="0" applyFont="1" applyFill="1" applyBorder="1"/>
    <xf numFmtId="0" fontId="5" fillId="0" borderId="3" xfId="0" applyFont="1" applyBorder="1"/>
    <xf numFmtId="0" fontId="5" fillId="0" borderId="7" xfId="0" applyFont="1" applyBorder="1"/>
    <xf numFmtId="0" fontId="12" fillId="0" borderId="3" xfId="0" applyFont="1" applyBorder="1"/>
    <xf numFmtId="3" fontId="12" fillId="0" borderId="1" xfId="0" applyNumberFormat="1" applyFont="1" applyBorder="1" applyAlignment="1">
      <alignment horizontal="center"/>
    </xf>
    <xf numFmtId="0" fontId="74" fillId="0" borderId="0" xfId="1" applyFont="1"/>
    <xf numFmtId="2" fontId="5" fillId="0" borderId="0" xfId="0" applyNumberFormat="1" applyFont="1" applyAlignment="1">
      <alignment horizontal="center"/>
    </xf>
    <xf numFmtId="165" fontId="5"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xf>
    <xf numFmtId="165" fontId="5" fillId="0" borderId="0" xfId="0" applyNumberFormat="1" applyFont="1" applyAlignment="1">
      <alignment horizontal="center"/>
    </xf>
    <xf numFmtId="165" fontId="5" fillId="0" borderId="0" xfId="0" applyNumberFormat="1" applyFont="1"/>
    <xf numFmtId="0" fontId="7" fillId="8" borderId="7" xfId="0" applyFont="1" applyFill="1" applyBorder="1" applyAlignment="1">
      <alignment horizontal="center"/>
    </xf>
    <xf numFmtId="165" fontId="5" fillId="0" borderId="7" xfId="0" applyNumberFormat="1" applyFont="1" applyBorder="1" applyAlignment="1">
      <alignment horizontal="center"/>
    </xf>
    <xf numFmtId="0" fontId="5" fillId="0" borderId="65" xfId="0" applyFont="1" applyBorder="1"/>
    <xf numFmtId="0" fontId="48" fillId="9" borderId="40" xfId="0" applyFont="1" applyFill="1" applyBorder="1"/>
    <xf numFmtId="165" fontId="12" fillId="0" borderId="0" xfId="0" applyNumberFormat="1" applyFont="1" applyAlignment="1">
      <alignment horizontal="center"/>
    </xf>
    <xf numFmtId="2" fontId="5" fillId="0" borderId="7" xfId="0" applyNumberFormat="1" applyFont="1" applyBorder="1" applyAlignment="1">
      <alignment horizontal="center"/>
    </xf>
    <xf numFmtId="0" fontId="12" fillId="0" borderId="3" xfId="0" applyFont="1" applyBorder="1" applyAlignment="1">
      <alignment horizontal="left"/>
    </xf>
    <xf numFmtId="0" fontId="12" fillId="0" borderId="7" xfId="0" applyFont="1" applyBorder="1" applyAlignment="1">
      <alignment horizontal="left"/>
    </xf>
    <xf numFmtId="0" fontId="5" fillId="0" borderId="7" xfId="0" applyFont="1" applyBorder="1" applyAlignment="1">
      <alignment horizontal="center"/>
    </xf>
    <xf numFmtId="164" fontId="3" fillId="3" borderId="1" xfId="0" applyNumberFormat="1" applyFont="1" applyFill="1" applyBorder="1" applyAlignment="1">
      <alignment horizontal="center" vertical="center"/>
    </xf>
    <xf numFmtId="168" fontId="5" fillId="2" borderId="1" xfId="5" applyNumberFormat="1" applyFont="1" applyFill="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vertical="center" wrapText="1"/>
    </xf>
    <xf numFmtId="0" fontId="59" fillId="0" borderId="1" xfId="0" applyFont="1" applyBorder="1"/>
    <xf numFmtId="4" fontId="12" fillId="3" borderId="12" xfId="0" applyNumberFormat="1" applyFont="1" applyFill="1" applyBorder="1" applyAlignment="1">
      <alignment horizontal="center"/>
    </xf>
    <xf numFmtId="4" fontId="5" fillId="2" borderId="12" xfId="0" applyNumberFormat="1" applyFont="1" applyFill="1" applyBorder="1" applyAlignment="1">
      <alignment horizontal="center" vertical="center"/>
    </xf>
    <xf numFmtId="0" fontId="17" fillId="0" borderId="12" xfId="0" applyFont="1" applyBorder="1" applyAlignment="1">
      <alignment horizontal="center" vertical="center"/>
    </xf>
    <xf numFmtId="0" fontId="12" fillId="0" borderId="35" xfId="0" applyFont="1" applyBorder="1" applyAlignment="1">
      <alignment horizontal="center" wrapText="1"/>
    </xf>
    <xf numFmtId="0" fontId="12" fillId="0" borderId="10" xfId="0" applyFont="1" applyBorder="1" applyAlignment="1">
      <alignment horizontal="center" wrapText="1"/>
    </xf>
    <xf numFmtId="167" fontId="5" fillId="3" borderId="33" xfId="0" applyNumberFormat="1" applyFont="1" applyFill="1" applyBorder="1" applyAlignment="1">
      <alignment horizontal="center"/>
    </xf>
    <xf numFmtId="167" fontId="5" fillId="2" borderId="36" xfId="0" applyNumberFormat="1" applyFont="1" applyFill="1" applyBorder="1" applyAlignment="1">
      <alignment horizontal="center"/>
    </xf>
    <xf numFmtId="0" fontId="5" fillId="0" borderId="35" xfId="0" applyFont="1" applyBorder="1" applyAlignment="1">
      <alignment horizontal="center"/>
    </xf>
    <xf numFmtId="0" fontId="7" fillId="8" borderId="5" xfId="0" applyFont="1" applyFill="1" applyBorder="1" applyAlignment="1">
      <alignment horizontal="left" vertical="top"/>
    </xf>
    <xf numFmtId="0" fontId="7" fillId="8" borderId="40" xfId="0" applyFont="1" applyFill="1" applyBorder="1" applyAlignment="1">
      <alignment horizontal="left" vertical="top"/>
    </xf>
    <xf numFmtId="0" fontId="7" fillId="8" borderId="66" xfId="0" applyFont="1" applyFill="1" applyBorder="1" applyAlignment="1">
      <alignment horizontal="left" vertical="top"/>
    </xf>
    <xf numFmtId="0" fontId="7" fillId="8" borderId="65" xfId="0" applyFont="1" applyFill="1" applyBorder="1" applyAlignment="1">
      <alignment horizontal="left" vertical="top"/>
    </xf>
    <xf numFmtId="0" fontId="7" fillId="8" borderId="2" xfId="0" applyFont="1" applyFill="1" applyBorder="1" applyAlignment="1">
      <alignment horizontal="left" vertical="top"/>
    </xf>
    <xf numFmtId="0" fontId="7" fillId="8" borderId="36" xfId="0" applyFont="1" applyFill="1" applyBorder="1" applyAlignment="1">
      <alignment horizontal="left" vertical="top"/>
    </xf>
    <xf numFmtId="0" fontId="7" fillId="8" borderId="6" xfId="0" applyFont="1" applyFill="1" applyBorder="1" applyAlignment="1">
      <alignment horizontal="left" vertical="top"/>
    </xf>
    <xf numFmtId="0" fontId="7" fillId="8" borderId="64" xfId="0" applyFont="1" applyFill="1" applyBorder="1" applyAlignment="1">
      <alignment horizontal="left" vertical="top"/>
    </xf>
    <xf numFmtId="0" fontId="7" fillId="8" borderId="4" xfId="0" applyFont="1" applyFill="1" applyBorder="1" applyAlignment="1">
      <alignment horizontal="left" vertical="top"/>
    </xf>
    <xf numFmtId="0" fontId="7" fillId="8" borderId="6" xfId="0" applyFont="1" applyFill="1" applyBorder="1" applyAlignment="1">
      <alignment horizontal="left" vertical="top" wrapText="1"/>
    </xf>
    <xf numFmtId="0" fontId="7" fillId="8" borderId="64" xfId="0" applyFont="1" applyFill="1" applyBorder="1" applyAlignment="1">
      <alignment horizontal="left" vertical="top" wrapText="1"/>
    </xf>
    <xf numFmtId="0" fontId="7" fillId="8" borderId="4" xfId="0" applyFont="1" applyFill="1" applyBorder="1" applyAlignment="1">
      <alignment horizontal="left" vertical="top" wrapText="1"/>
    </xf>
    <xf numFmtId="0" fontId="77" fillId="0" borderId="0" xfId="0" applyFont="1" applyAlignment="1">
      <alignment horizontal="center" vertical="center" wrapText="1"/>
    </xf>
    <xf numFmtId="0" fontId="7" fillId="0" borderId="32" xfId="0" applyFont="1" applyBorder="1" applyAlignment="1">
      <alignment horizontal="center"/>
    </xf>
    <xf numFmtId="167" fontId="5" fillId="2" borderId="82" xfId="0" applyNumberFormat="1" applyFont="1" applyFill="1" applyBorder="1" applyAlignment="1">
      <alignment horizontal="center"/>
    </xf>
    <xf numFmtId="167" fontId="7" fillId="2" borderId="32" xfId="0" applyNumberFormat="1" applyFont="1" applyFill="1" applyBorder="1" applyAlignment="1">
      <alignment horizontal="center"/>
    </xf>
    <xf numFmtId="0" fontId="17" fillId="0" borderId="32" xfId="0" applyFont="1" applyBorder="1" applyAlignment="1">
      <alignment horizontal="center" wrapText="1"/>
    </xf>
    <xf numFmtId="0" fontId="17" fillId="0" borderId="35" xfId="0" applyFont="1" applyBorder="1" applyAlignment="1">
      <alignment horizontal="center"/>
    </xf>
    <xf numFmtId="167" fontId="12" fillId="2" borderId="36" xfId="0" applyNumberFormat="1" applyFont="1" applyFill="1" applyBorder="1" applyAlignment="1">
      <alignment horizontal="center"/>
    </xf>
    <xf numFmtId="164" fontId="5" fillId="2" borderId="36" xfId="0" applyNumberFormat="1" applyFont="1" applyFill="1" applyBorder="1" applyAlignment="1">
      <alignment horizontal="center"/>
    </xf>
    <xf numFmtId="164" fontId="5" fillId="2" borderId="82" xfId="0" applyNumberFormat="1" applyFont="1" applyFill="1" applyBorder="1" applyAlignment="1">
      <alignment horizontal="center"/>
    </xf>
    <xf numFmtId="0" fontId="0" fillId="0" borderId="1" xfId="0" applyBorder="1"/>
    <xf numFmtId="0" fontId="5" fillId="0" borderId="0" xfId="0" applyFont="1" applyAlignment="1">
      <alignment wrapText="1"/>
    </xf>
    <xf numFmtId="0" fontId="12" fillId="16" borderId="29" xfId="0" applyFont="1" applyFill="1" applyBorder="1" applyAlignment="1">
      <alignment horizontal="left"/>
    </xf>
    <xf numFmtId="2" fontId="5" fillId="16" borderId="29" xfId="0" applyNumberFormat="1" applyFont="1" applyFill="1" applyBorder="1" applyAlignment="1">
      <alignment horizontal="center" vertical="center"/>
    </xf>
    <xf numFmtId="0" fontId="5" fillId="16" borderId="8" xfId="0" applyFont="1" applyFill="1" applyBorder="1" applyAlignment="1">
      <alignment horizontal="left"/>
    </xf>
    <xf numFmtId="2" fontId="12" fillId="0" borderId="1" xfId="0" applyNumberFormat="1" applyFont="1" applyBorder="1" applyAlignment="1">
      <alignment horizont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67" fontId="3" fillId="2" borderId="12" xfId="0" applyNumberFormat="1" applyFont="1" applyFill="1" applyBorder="1" applyAlignment="1">
      <alignment horizontal="center"/>
    </xf>
    <xf numFmtId="167" fontId="3" fillId="3" borderId="9" xfId="0" applyNumberFormat="1" applyFont="1" applyFill="1" applyBorder="1" applyAlignment="1">
      <alignment horizontal="center"/>
    </xf>
    <xf numFmtId="0" fontId="3" fillId="0" borderId="72" xfId="0" applyFont="1" applyBorder="1" applyAlignment="1">
      <alignment horizontal="center"/>
    </xf>
    <xf numFmtId="165" fontId="12" fillId="15" borderId="9" xfId="0" applyNumberFormat="1" applyFont="1" applyFill="1" applyBorder="1" applyAlignment="1">
      <alignment horizontal="center" vertical="center"/>
    </xf>
    <xf numFmtId="0" fontId="17" fillId="0" borderId="9" xfId="0" applyFont="1" applyBorder="1" applyAlignment="1">
      <alignment horizontal="center"/>
    </xf>
    <xf numFmtId="167" fontId="3" fillId="2" borderId="9" xfId="0" applyNumberFormat="1" applyFont="1" applyFill="1" applyBorder="1" applyAlignment="1">
      <alignment horizontal="center"/>
    </xf>
    <xf numFmtId="0" fontId="12" fillId="0" borderId="1" xfId="0" applyFont="1" applyBorder="1" applyAlignment="1">
      <alignment horizontal="left"/>
    </xf>
    <xf numFmtId="165" fontId="12" fillId="0" borderId="1" xfId="0" applyNumberFormat="1" applyFont="1" applyBorder="1" applyAlignment="1">
      <alignment horizontal="center" vertical="center"/>
    </xf>
    <xf numFmtId="164" fontId="77" fillId="3" borderId="1" xfId="0" applyNumberFormat="1" applyFont="1" applyFill="1" applyBorder="1" applyAlignment="1">
      <alignment horizontal="center"/>
    </xf>
    <xf numFmtId="164" fontId="12" fillId="2" borderId="1" xfId="5" applyNumberFormat="1" applyFont="1" applyFill="1" applyBorder="1" applyAlignment="1">
      <alignment horizontal="center"/>
    </xf>
    <xf numFmtId="168" fontId="12" fillId="2" borderId="1" xfId="5" applyNumberFormat="1" applyFont="1" applyFill="1" applyBorder="1" applyAlignment="1">
      <alignment horizontal="center"/>
    </xf>
    <xf numFmtId="0" fontId="60" fillId="0" borderId="50" xfId="0" applyFont="1" applyBorder="1" applyAlignment="1">
      <alignment horizontal="left" vertical="top" wrapText="1"/>
    </xf>
    <xf numFmtId="0" fontId="60" fillId="0" borderId="50" xfId="0" applyFont="1" applyBorder="1" applyAlignment="1">
      <alignment horizontal="right" vertical="top" wrapText="1"/>
    </xf>
    <xf numFmtId="0" fontId="81" fillId="0" borderId="1" xfId="0" applyFont="1" applyBorder="1"/>
    <xf numFmtId="0" fontId="3" fillId="0" borderId="11" xfId="0" applyFont="1" applyBorder="1" applyAlignment="1">
      <alignment horizontal="center" vertical="center"/>
    </xf>
    <xf numFmtId="0" fontId="84" fillId="0" borderId="0" xfId="0" applyFont="1"/>
    <xf numFmtId="0" fontId="85" fillId="0" borderId="0" xfId="0" applyFont="1"/>
    <xf numFmtId="0" fontId="81" fillId="0" borderId="0" xfId="0" applyFont="1"/>
    <xf numFmtId="0" fontId="81" fillId="0" borderId="7" xfId="0" applyFont="1" applyBorder="1"/>
    <xf numFmtId="0" fontId="86" fillId="0" borderId="0" xfId="0" applyFont="1" applyAlignment="1">
      <alignment vertical="top" wrapText="1"/>
    </xf>
    <xf numFmtId="0" fontId="15" fillId="0" borderId="5" xfId="0" applyFont="1" applyBorder="1"/>
    <xf numFmtId="0" fontId="0" fillId="0" borderId="52" xfId="0" applyBorder="1"/>
    <xf numFmtId="0" fontId="0" fillId="0" borderId="40" xfId="0" applyBorder="1"/>
    <xf numFmtId="164" fontId="60" fillId="0" borderId="28" xfId="0" applyNumberFormat="1" applyFont="1" applyBorder="1" applyAlignment="1">
      <alignment horizontal="right" vertical="top" wrapText="1"/>
    </xf>
    <xf numFmtId="0" fontId="0" fillId="0" borderId="50" xfId="0" applyBorder="1"/>
    <xf numFmtId="0" fontId="0" fillId="0" borderId="36" xfId="0" applyBorder="1"/>
    <xf numFmtId="167" fontId="3" fillId="3" borderId="42" xfId="0" applyNumberFormat="1" applyFont="1" applyFill="1" applyBorder="1" applyAlignment="1">
      <alignment horizontal="center"/>
    </xf>
    <xf numFmtId="0" fontId="17" fillId="0" borderId="72" xfId="0" applyFont="1" applyBorder="1" applyAlignment="1">
      <alignment horizontal="center"/>
    </xf>
    <xf numFmtId="167" fontId="3" fillId="2" borderId="10" xfId="0" applyNumberFormat="1" applyFont="1" applyFill="1" applyBorder="1" applyAlignment="1">
      <alignment horizontal="center"/>
    </xf>
    <xf numFmtId="0" fontId="3" fillId="0" borderId="42" xfId="0" applyFont="1" applyBorder="1" applyAlignment="1">
      <alignment horizontal="center"/>
    </xf>
    <xf numFmtId="0" fontId="17" fillId="0" borderId="48" xfId="0" applyFont="1" applyBorder="1" applyAlignment="1">
      <alignment horizontal="center"/>
    </xf>
    <xf numFmtId="0" fontId="0" fillId="0" borderId="43" xfId="0" applyBorder="1" applyAlignment="1">
      <alignment horizontal="center"/>
    </xf>
    <xf numFmtId="0" fontId="0" fillId="0" borderId="77" xfId="0" applyBorder="1" applyAlignment="1">
      <alignment horizontal="center"/>
    </xf>
    <xf numFmtId="167" fontId="0" fillId="0" borderId="43" xfId="0" applyNumberFormat="1" applyBorder="1" applyAlignment="1">
      <alignment horizontal="center" vertical="center"/>
    </xf>
    <xf numFmtId="0" fontId="0" fillId="0" borderId="39" xfId="0" applyBorder="1" applyAlignment="1">
      <alignment horizontal="center"/>
    </xf>
    <xf numFmtId="0" fontId="0" fillId="0" borderId="47" xfId="0" applyBorder="1"/>
    <xf numFmtId="0" fontId="0" fillId="0" borderId="28" xfId="0" applyBorder="1"/>
    <xf numFmtId="0" fontId="0" fillId="0" borderId="13" xfId="0" applyBorder="1"/>
    <xf numFmtId="0" fontId="0" fillId="0" borderId="9" xfId="0" applyBorder="1" applyAlignment="1">
      <alignment horizontal="center"/>
    </xf>
    <xf numFmtId="0" fontId="0" fillId="0" borderId="37" xfId="0" applyBorder="1"/>
    <xf numFmtId="0" fontId="0" fillId="0" borderId="71" xfId="0" applyBorder="1"/>
    <xf numFmtId="0" fontId="0" fillId="0" borderId="79" xfId="0" applyBorder="1"/>
    <xf numFmtId="0" fontId="0" fillId="0" borderId="49" xfId="0" applyBorder="1"/>
    <xf numFmtId="0" fontId="0" fillId="0" borderId="29" xfId="0" applyBorder="1"/>
    <xf numFmtId="4" fontId="12" fillId="3" borderId="69" xfId="0" applyNumberFormat="1" applyFont="1" applyFill="1" applyBorder="1" applyAlignment="1">
      <alignment horizontal="center" vertical="center"/>
    </xf>
    <xf numFmtId="2" fontId="5" fillId="2" borderId="84" xfId="0" applyNumberFormat="1" applyFont="1" applyFill="1" applyBorder="1" applyAlignment="1">
      <alignment horizontal="center"/>
    </xf>
    <xf numFmtId="2" fontId="5" fillId="2" borderId="42" xfId="0" applyNumberFormat="1" applyFont="1" applyFill="1" applyBorder="1" applyAlignment="1">
      <alignment horizontal="center" vertical="center"/>
    </xf>
    <xf numFmtId="4" fontId="5" fillId="3" borderId="68" xfId="0" applyNumberFormat="1" applyFont="1" applyFill="1" applyBorder="1" applyAlignment="1">
      <alignment horizontal="center"/>
    </xf>
    <xf numFmtId="2" fontId="7" fillId="2" borderId="32" xfId="0" applyNumberFormat="1" applyFont="1" applyFill="1" applyBorder="1" applyAlignment="1">
      <alignment horizontal="center" vertical="center"/>
    </xf>
    <xf numFmtId="0" fontId="0" fillId="0" borderId="11" xfId="0" applyBorder="1" applyAlignment="1">
      <alignment horizontal="center"/>
    </xf>
    <xf numFmtId="4" fontId="12" fillId="5" borderId="7" xfId="0" applyNumberFormat="1" applyFont="1" applyFill="1" applyBorder="1" applyAlignment="1">
      <alignment horizontal="center" vertical="center"/>
    </xf>
    <xf numFmtId="4" fontId="12" fillId="5" borderId="40" xfId="0" applyNumberFormat="1" applyFont="1" applyFill="1" applyBorder="1" applyAlignment="1">
      <alignment horizontal="center" vertical="center"/>
    </xf>
    <xf numFmtId="0" fontId="16" fillId="14" borderId="3" xfId="1" applyFill="1" applyBorder="1" applyAlignment="1">
      <alignment horizontal="left" vertical="top" wrapText="1"/>
    </xf>
    <xf numFmtId="0" fontId="16" fillId="14" borderId="28" xfId="1" applyFill="1" applyBorder="1" applyAlignment="1">
      <alignment horizontal="left" vertical="top" wrapText="1"/>
    </xf>
    <xf numFmtId="0" fontId="16" fillId="14" borderId="7" xfId="1" applyFill="1" applyBorder="1" applyAlignment="1">
      <alignment horizontal="left" vertical="top" wrapText="1"/>
    </xf>
    <xf numFmtId="0" fontId="44" fillId="11" borderId="66" xfId="0" applyFont="1" applyFill="1" applyBorder="1" applyAlignment="1">
      <alignment horizontal="left"/>
    </xf>
    <xf numFmtId="0" fontId="44" fillId="11" borderId="0" xfId="0" applyFont="1" applyFill="1" applyAlignment="1">
      <alignment horizontal="left"/>
    </xf>
    <xf numFmtId="0" fontId="0" fillId="0" borderId="3" xfId="0" applyBorder="1" applyAlignment="1">
      <alignment horizontal="left" vertical="top" wrapText="1"/>
    </xf>
    <xf numFmtId="0" fontId="0" fillId="0" borderId="28" xfId="0" applyBorder="1" applyAlignment="1">
      <alignment horizontal="left" vertical="top" wrapText="1"/>
    </xf>
    <xf numFmtId="0" fontId="0" fillId="0" borderId="7" xfId="0" applyBorder="1" applyAlignment="1">
      <alignment horizontal="left" vertical="top" wrapText="1"/>
    </xf>
    <xf numFmtId="0" fontId="18" fillId="12" borderId="3" xfId="0" applyFont="1" applyFill="1" applyBorder="1" applyAlignment="1">
      <alignment horizontal="left" vertical="top" wrapText="1"/>
    </xf>
    <xf numFmtId="0" fontId="18" fillId="12" borderId="28" xfId="0" applyFont="1" applyFill="1" applyBorder="1" applyAlignment="1">
      <alignment horizontal="left" vertical="top" wrapText="1"/>
    </xf>
    <xf numFmtId="0" fontId="18" fillId="12" borderId="7" xfId="0" applyFont="1" applyFill="1" applyBorder="1" applyAlignment="1">
      <alignment horizontal="left" vertical="top" wrapText="1"/>
    </xf>
    <xf numFmtId="0" fontId="60" fillId="0" borderId="3" xfId="0" applyFont="1" applyBorder="1" applyAlignment="1">
      <alignment horizontal="left" vertical="top" wrapText="1"/>
    </xf>
    <xf numFmtId="0" fontId="61" fillId="0" borderId="28" xfId="0" applyFont="1" applyBorder="1" applyAlignment="1">
      <alignment horizontal="left" vertical="top" wrapText="1"/>
    </xf>
    <xf numFmtId="0" fontId="61" fillId="0" borderId="7" xfId="0" applyFont="1" applyBorder="1" applyAlignment="1">
      <alignment horizontal="left" vertical="top"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60" fillId="0" borderId="28" xfId="0" applyFont="1" applyBorder="1" applyAlignment="1">
      <alignment horizontal="left" vertical="top" wrapText="1"/>
    </xf>
    <xf numFmtId="0" fontId="60" fillId="0" borderId="7" xfId="0" applyFont="1" applyBorder="1" applyAlignment="1">
      <alignment horizontal="left" vertical="top" wrapText="1"/>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12" fillId="0" borderId="30" xfId="0" applyFont="1" applyBorder="1" applyAlignment="1">
      <alignment horizontal="center" vertical="center"/>
    </xf>
    <xf numFmtId="0" fontId="12" fillId="0" borderId="5" xfId="0" applyFont="1" applyBorder="1" applyAlignment="1">
      <alignment horizontal="center" vertical="center"/>
    </xf>
    <xf numFmtId="0" fontId="7" fillId="0" borderId="71" xfId="0" applyFont="1" applyBorder="1" applyAlignment="1">
      <alignment horizontal="center"/>
    </xf>
    <xf numFmtId="0" fontId="7" fillId="0" borderId="49" xfId="0" applyFont="1" applyBorder="1" applyAlignment="1">
      <alignment horizontal="center"/>
    </xf>
    <xf numFmtId="0" fontId="23" fillId="0" borderId="0" xfId="0" applyFont="1" applyAlignment="1">
      <alignment horizontal="left" wrapText="1"/>
    </xf>
    <xf numFmtId="0" fontId="7" fillId="0" borderId="34" xfId="0" applyFont="1" applyBorder="1" applyAlignment="1">
      <alignment horizontal="center" vertical="center"/>
    </xf>
    <xf numFmtId="0" fontId="7" fillId="0" borderId="70"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42" xfId="0" applyFont="1" applyBorder="1" applyAlignment="1">
      <alignment horizontal="center" vertical="center"/>
    </xf>
    <xf numFmtId="0" fontId="2" fillId="0" borderId="2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79" xfId="0" applyFont="1" applyBorder="1" applyAlignment="1">
      <alignment horizont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2" fillId="0" borderId="7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81" xfId="0" applyFont="1" applyBorder="1" applyAlignment="1">
      <alignment horizontal="center" vertical="center" wrapText="1"/>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64" xfId="0" applyFont="1" applyBorder="1" applyAlignment="1">
      <alignment horizontal="center" vertical="center"/>
    </xf>
    <xf numFmtId="0" fontId="5" fillId="0" borderId="2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5" fillId="0" borderId="23" xfId="0" applyFont="1" applyBorder="1" applyAlignment="1">
      <alignment horizontal="center" vertical="center"/>
    </xf>
    <xf numFmtId="0" fontId="5" fillId="0" borderId="74" xfId="0" applyFont="1" applyBorder="1" applyAlignment="1">
      <alignment horizontal="center" vertical="center"/>
    </xf>
    <xf numFmtId="0" fontId="5" fillId="0" borderId="25" xfId="0" applyFont="1" applyBorder="1" applyAlignment="1">
      <alignment horizontal="center" vertical="center"/>
    </xf>
    <xf numFmtId="0" fontId="23" fillId="0" borderId="50" xfId="0" applyFont="1" applyBorder="1" applyAlignment="1">
      <alignment horizontal="left"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0" xfId="0" applyFont="1" applyBorder="1" applyAlignment="1">
      <alignment horizontal="center" vertical="center"/>
    </xf>
    <xf numFmtId="0" fontId="7" fillId="0" borderId="38" xfId="0" applyFont="1" applyBorder="1" applyAlignment="1">
      <alignment horizontal="center" vertical="center"/>
    </xf>
    <xf numFmtId="17" fontId="5" fillId="0" borderId="55" xfId="0" applyNumberFormat="1" applyFont="1" applyBorder="1" applyAlignment="1">
      <alignment horizontal="center" vertical="center"/>
    </xf>
    <xf numFmtId="0" fontId="5" fillId="0" borderId="27" xfId="0" applyFont="1" applyBorder="1" applyAlignment="1">
      <alignment horizontal="center" vertical="center"/>
    </xf>
    <xf numFmtId="0" fontId="60" fillId="0" borderId="66" xfId="0" applyFont="1" applyBorder="1" applyAlignment="1">
      <alignment horizontal="left" vertical="top" wrapText="1"/>
    </xf>
    <xf numFmtId="0" fontId="60" fillId="0" borderId="0" xfId="0" applyFont="1" applyAlignment="1">
      <alignment horizontal="left" vertical="top" wrapText="1"/>
    </xf>
    <xf numFmtId="0" fontId="60" fillId="0" borderId="65" xfId="0" applyFont="1" applyBorder="1" applyAlignment="1">
      <alignment horizontal="left" vertical="top" wrapText="1"/>
    </xf>
    <xf numFmtId="0" fontId="60" fillId="0" borderId="2" xfId="0" applyFont="1" applyBorder="1" applyAlignment="1">
      <alignment horizontal="left" vertical="top" wrapText="1"/>
    </xf>
    <xf numFmtId="0" fontId="60" fillId="0" borderId="50" xfId="0" applyFont="1" applyBorder="1" applyAlignment="1">
      <alignment horizontal="left" vertical="top"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7" fillId="0" borderId="11" xfId="0" applyFont="1" applyBorder="1" applyAlignment="1">
      <alignment horizontal="center" vertical="center"/>
    </xf>
    <xf numFmtId="0" fontId="17" fillId="0" borderId="29"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5" fillId="0" borderId="5" xfId="0" applyFont="1" applyBorder="1" applyAlignment="1">
      <alignment horizontal="left" vertical="top" wrapText="1"/>
    </xf>
    <xf numFmtId="0" fontId="15" fillId="0" borderId="52" xfId="0" applyFont="1" applyBorder="1" applyAlignment="1">
      <alignment horizontal="left" vertical="top" wrapText="1"/>
    </xf>
    <xf numFmtId="0" fontId="15" fillId="0" borderId="40" xfId="0" applyFont="1" applyBorder="1" applyAlignment="1">
      <alignment horizontal="left" vertical="top" wrapText="1"/>
    </xf>
    <xf numFmtId="0" fontId="60" fillId="0" borderId="2" xfId="0" applyFont="1" applyBorder="1" applyAlignment="1">
      <alignment vertical="top" wrapText="1"/>
    </xf>
    <xf numFmtId="0" fontId="60" fillId="0" borderId="50" xfId="0" applyFont="1" applyBorder="1" applyAlignment="1">
      <alignment vertical="top" wrapText="1"/>
    </xf>
    <xf numFmtId="0" fontId="60" fillId="0" borderId="36" xfId="0" applyFont="1" applyBorder="1" applyAlignment="1">
      <alignment vertical="top" wrapText="1"/>
    </xf>
    <xf numFmtId="167" fontId="7" fillId="0" borderId="11" xfId="0" applyNumberFormat="1" applyFont="1" applyBorder="1" applyAlignment="1">
      <alignment horizontal="center" vertical="center" wrapText="1"/>
    </xf>
    <xf numFmtId="167" fontId="7" fillId="0" borderId="29" xfId="0" applyNumberFormat="1" applyFont="1" applyBorder="1" applyAlignment="1">
      <alignment horizontal="center" vertical="center" wrapText="1"/>
    </xf>
    <xf numFmtId="0" fontId="7" fillId="0" borderId="29" xfId="0" applyFont="1" applyBorder="1" applyAlignment="1">
      <alignment horizontal="center" vertical="center" wrapText="1"/>
    </xf>
    <xf numFmtId="167" fontId="7" fillId="0" borderId="38" xfId="0" applyNumberFormat="1" applyFont="1" applyBorder="1" applyAlignment="1">
      <alignment horizontal="center" vertical="center" wrapText="1"/>
    </xf>
    <xf numFmtId="167" fontId="7" fillId="0" borderId="34" xfId="0" applyNumberFormat="1" applyFont="1" applyBorder="1" applyAlignment="1">
      <alignment horizontal="center" vertical="center" wrapText="1"/>
    </xf>
    <xf numFmtId="167" fontId="7" fillId="0" borderId="37"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62" fillId="0" borderId="3" xfId="1" applyFont="1" applyBorder="1" applyAlignment="1">
      <alignment horizontal="left" vertical="top" wrapText="1"/>
    </xf>
    <xf numFmtId="0" fontId="62" fillId="0" borderId="28" xfId="1" applyFont="1" applyBorder="1" applyAlignment="1">
      <alignment horizontal="left" vertical="top" wrapText="1"/>
    </xf>
    <xf numFmtId="0" fontId="62" fillId="0" borderId="7" xfId="1" applyFont="1" applyBorder="1" applyAlignment="1">
      <alignment horizontal="left" vertical="top" wrapText="1"/>
    </xf>
    <xf numFmtId="167" fontId="7" fillId="0" borderId="12" xfId="0" applyNumberFormat="1" applyFont="1" applyBorder="1" applyAlignment="1">
      <alignment horizontal="center" vertical="center" wrapText="1"/>
    </xf>
    <xf numFmtId="4" fontId="7" fillId="2" borderId="71" xfId="0" applyNumberFormat="1" applyFont="1" applyFill="1" applyBorder="1" applyAlignment="1">
      <alignment horizontal="center" vertical="center"/>
    </xf>
    <xf numFmtId="4" fontId="7" fillId="2" borderId="49" xfId="0" applyNumberFormat="1" applyFont="1" applyFill="1" applyBorder="1" applyAlignment="1">
      <alignment horizontal="center" vertical="center"/>
    </xf>
    <xf numFmtId="4" fontId="7" fillId="0" borderId="11"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0" fontId="60" fillId="0" borderId="5" xfId="0" applyFont="1" applyBorder="1" applyAlignment="1">
      <alignment horizontal="left" vertical="top" wrapText="1"/>
    </xf>
    <xf numFmtId="0" fontId="60" fillId="0" borderId="52" xfId="0" applyFont="1" applyBorder="1" applyAlignment="1">
      <alignment horizontal="left" vertical="top" wrapText="1"/>
    </xf>
    <xf numFmtId="0" fontId="60" fillId="0" borderId="40" xfId="0" applyFont="1" applyBorder="1" applyAlignment="1">
      <alignment horizontal="left" vertical="top" wrapText="1"/>
    </xf>
    <xf numFmtId="0" fontId="60" fillId="0" borderId="36" xfId="0" applyFont="1" applyBorder="1" applyAlignment="1">
      <alignment horizontal="left" vertical="top"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31" xfId="0" applyFont="1" applyBorder="1" applyAlignment="1">
      <alignment horizontal="center" vertical="center" wrapText="1"/>
    </xf>
    <xf numFmtId="167" fontId="7" fillId="0" borderId="17" xfId="0" applyNumberFormat="1" applyFont="1" applyBorder="1" applyAlignment="1">
      <alignment horizontal="center" vertical="center" wrapText="1"/>
    </xf>
    <xf numFmtId="167" fontId="7" fillId="0" borderId="67" xfId="0" applyNumberFormat="1" applyFont="1" applyBorder="1" applyAlignment="1">
      <alignment horizontal="center" vertical="center" wrapText="1"/>
    </xf>
    <xf numFmtId="167" fontId="7" fillId="0" borderId="31" xfId="0" applyNumberFormat="1" applyFont="1" applyBorder="1" applyAlignment="1">
      <alignment horizontal="center" vertical="center" wrapText="1"/>
    </xf>
    <xf numFmtId="0" fontId="16" fillId="0" borderId="28" xfId="1" applyBorder="1" applyAlignment="1">
      <alignment horizontal="left" vertical="top" wrapText="1"/>
    </xf>
    <xf numFmtId="0" fontId="16" fillId="0" borderId="7" xfId="1" applyBorder="1" applyAlignment="1">
      <alignment horizontal="left" vertical="top" wrapText="1"/>
    </xf>
    <xf numFmtId="0" fontId="0" fillId="0" borderId="0" xfId="0" applyAlignment="1">
      <alignment horizontal="center"/>
    </xf>
    <xf numFmtId="0" fontId="0" fillId="0" borderId="62" xfId="0" applyBorder="1" applyAlignment="1">
      <alignment horizontal="center"/>
    </xf>
  </cellXfs>
  <cellStyles count="7">
    <cellStyle name="Even" xfId="2" xr:uid="{A70C19A1-C3EF-4786-85ED-3DAE9F341753}"/>
    <cellStyle name="Hüperlink" xfId="1" builtinId="8"/>
    <cellStyle name="Mudeli alamleht" xfId="6" xr:uid="{45716488-2E3E-4358-988C-6C449AE54B96}"/>
    <cellStyle name="Normaallaad" xfId="0" builtinId="0"/>
    <cellStyle name="Odd" xfId="3" xr:uid="{8A56CE27-123F-4CDC-B024-A75357C84734}"/>
    <cellStyle name="Protsent" xfId="5" builtinId="5"/>
    <cellStyle name="Selection" xfId="4" xr:uid="{C62767D0-0C49-4B22-8131-CA9A30B153B2}"/>
  </cellStyles>
  <dxfs count="2">
    <dxf>
      <fill>
        <patternFill>
          <bgColor rgb="FFCCFF99"/>
        </patternFill>
      </fill>
    </dxf>
    <dxf>
      <fill>
        <patternFill>
          <bgColor rgb="FFFFFF99"/>
        </patternFill>
      </fill>
    </dxf>
  </dxfs>
  <tableStyles count="0" defaultTableStyle="TableStyleMedium9" defaultPivotStyle="PivotStyleLight16"/>
  <colors>
    <mruColors>
      <color rgb="FF66CC00"/>
      <color rgb="FFA5FF4B"/>
      <color rgb="FFDBFFB7"/>
      <color rgb="FF3B7600"/>
      <color rgb="FFFFFF99"/>
      <color rgb="FFCCFF99"/>
      <color rgb="FFB2D732"/>
      <color rgb="FFFEFE33"/>
      <color rgb="FFFDED2A"/>
      <color rgb="FFCBE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4</a:t>
            </a:r>
            <a:endParaRPr lang="en-US" sz="1050" b="1"/>
          </a:p>
        </c:rich>
      </c:tx>
      <c:overlay val="0"/>
      <c:spPr>
        <a:noFill/>
        <a:ln>
          <a:noFill/>
        </a:ln>
        <a:effectLst/>
      </c:spPr>
    </c:title>
    <c:autoTitleDeleted val="0"/>
    <c:plotArea>
      <c:layout/>
      <c:lineChart>
        <c:grouping val="standard"/>
        <c:varyColors val="0"/>
        <c:ser>
          <c:idx val="0"/>
          <c:order val="0"/>
          <c:tx>
            <c:strRef>
              <c:f>ELEKTER!$C$25</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ELEKTER!$D$25:$O$25</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5C-47AA-80EA-1E815F7DD22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2025</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ELEKTER!$C$30</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ELEKTER!$D$30:$O$30</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40-45D9-94A4-0B0C6706B6DD}"/>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2026</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ELEKTER!$C$35</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ELEKTER!$D$35:$O$35</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BBE-4F2D-BC84-FF9639BE5D44}"/>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2027</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ELEKTER!$C$40</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ELEKTER!$D$40:$O$40</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2A7-4AD8-88BA-BD08973BE567}"/>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t-EE" sz="1050" b="1"/>
              <a:t>2028</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ELEKTER!$C$45</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ELEKTER!$D$45:$O$45</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DD-4A5A-A88B-7445BC5CECC1}"/>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3</a:t>
            </a:r>
            <a:endParaRPr lang="en-US" sz="1050" b="1"/>
          </a:p>
        </c:rich>
      </c:tx>
      <c:overlay val="0"/>
      <c:spPr>
        <a:noFill/>
        <a:ln>
          <a:noFill/>
        </a:ln>
        <a:effectLst/>
      </c:spPr>
    </c:title>
    <c:autoTitleDeleted val="0"/>
    <c:plotArea>
      <c:layout/>
      <c:lineChart>
        <c:grouping val="standard"/>
        <c:varyColors val="0"/>
        <c:ser>
          <c:idx val="0"/>
          <c:order val="0"/>
          <c:tx>
            <c:strRef>
              <c:f>ELEKTER!$C$20</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ELEKTER!$D$20:$O$20</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CA5-4ADE-8836-9443A9FB99AF}"/>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202</a:t>
            </a:r>
            <a:r>
              <a:rPr lang="et-EE" sz="1050" b="1"/>
              <a:t>2</a:t>
            </a:r>
            <a:endParaRPr lang="en-US" sz="1050" b="1"/>
          </a:p>
        </c:rich>
      </c:tx>
      <c:overlay val="0"/>
      <c:spPr>
        <a:noFill/>
        <a:ln>
          <a:noFill/>
        </a:ln>
        <a:effectLst/>
      </c:spPr>
    </c:title>
    <c:autoTitleDeleted val="0"/>
    <c:plotArea>
      <c:layout/>
      <c:lineChart>
        <c:grouping val="standard"/>
        <c:varyColors val="0"/>
        <c:ser>
          <c:idx val="0"/>
          <c:order val="0"/>
          <c:tx>
            <c:strRef>
              <c:f>ELEKTER!$C$15</c:f>
              <c:strCache>
                <c:ptCount val="1"/>
                <c:pt idx="0">
                  <c:v>Elektritarbimine kokku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ELEKTER!$D$15:$O$15</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DA-42D3-B086-03763EBEE378}"/>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SOOJUS!$B$15</c:f>
          <c:strCache>
            <c:ptCount val="1"/>
            <c:pt idx="0">
              <c:v>2022</c:v>
            </c:pt>
          </c:strCache>
        </c:strRef>
      </c:tx>
      <c:overlay val="0"/>
      <c:txPr>
        <a:bodyPr/>
        <a:lstStyle/>
        <a:p>
          <a:pPr>
            <a:defRPr sz="1000"/>
          </a:pPr>
          <a:endParaRPr lang="et-EE"/>
        </a:p>
      </c:txPr>
    </c:title>
    <c:autoTitleDeleted val="0"/>
    <c:plotArea>
      <c:layout/>
      <c:lineChart>
        <c:grouping val="standard"/>
        <c:varyColors val="0"/>
        <c:ser>
          <c:idx val="1"/>
          <c:order val="0"/>
          <c:tx>
            <c:strRef>
              <c:f>SOOJUS!$C$15</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SOOJUS!$D$15:$O$15</c:f>
              <c:numCache>
                <c:formatCode>#\ ##0.0</c:formatCode>
                <c:ptCount val="12"/>
              </c:numCache>
            </c:numRef>
          </c:val>
          <c:smooth val="0"/>
          <c:extLst>
            <c:ext xmlns:c16="http://schemas.microsoft.com/office/drawing/2014/chart" uri="{C3380CC4-5D6E-409C-BE32-E72D297353CC}">
              <c16:uniqueId val="{00000000-C567-4C93-9F68-9C7887B50E7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SOOJUS!$B$17</c:f>
          <c:strCache>
            <c:ptCount val="1"/>
            <c:pt idx="0">
              <c:v>2023</c:v>
            </c:pt>
          </c:strCache>
        </c:strRef>
      </c:tx>
      <c:overlay val="0"/>
      <c:txPr>
        <a:bodyPr/>
        <a:lstStyle/>
        <a:p>
          <a:pPr>
            <a:defRPr sz="1000"/>
          </a:pPr>
          <a:endParaRPr lang="et-EE"/>
        </a:p>
      </c:txPr>
    </c:title>
    <c:autoTitleDeleted val="0"/>
    <c:plotArea>
      <c:layout/>
      <c:lineChart>
        <c:grouping val="standard"/>
        <c:varyColors val="0"/>
        <c:ser>
          <c:idx val="1"/>
          <c:order val="0"/>
          <c:tx>
            <c:strRef>
              <c:f>SOOJUS!$C$17</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SOOJUS!$D$17:$O$17</c:f>
              <c:numCache>
                <c:formatCode>#\ ##0.0</c:formatCode>
                <c:ptCount val="12"/>
              </c:numCache>
            </c:numRef>
          </c:val>
          <c:smooth val="0"/>
          <c:extLst>
            <c:ext xmlns:c16="http://schemas.microsoft.com/office/drawing/2014/chart" uri="{C3380CC4-5D6E-409C-BE32-E72D297353CC}">
              <c16:uniqueId val="{00000000-6C74-4E3C-83FF-281E55084A5B}"/>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SOOJUS!$B$19</c:f>
          <c:strCache>
            <c:ptCount val="1"/>
            <c:pt idx="0">
              <c:v>2024</c:v>
            </c:pt>
          </c:strCache>
        </c:strRef>
      </c:tx>
      <c:overlay val="0"/>
      <c:txPr>
        <a:bodyPr/>
        <a:lstStyle/>
        <a:p>
          <a:pPr>
            <a:defRPr sz="1000"/>
          </a:pPr>
          <a:endParaRPr lang="et-EE"/>
        </a:p>
      </c:txPr>
    </c:title>
    <c:autoTitleDeleted val="0"/>
    <c:plotArea>
      <c:layout/>
      <c:lineChart>
        <c:grouping val="standard"/>
        <c:varyColors val="0"/>
        <c:ser>
          <c:idx val="1"/>
          <c:order val="0"/>
          <c:tx>
            <c:strRef>
              <c:f>SOOJUS!$C$19</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SOOJUS!$D$19:$O$19</c:f>
              <c:numCache>
                <c:formatCode>#\ ##0.0</c:formatCode>
                <c:ptCount val="12"/>
              </c:numCache>
            </c:numRef>
          </c:val>
          <c:smooth val="0"/>
          <c:extLst>
            <c:ext xmlns:c16="http://schemas.microsoft.com/office/drawing/2014/chart" uri="{C3380CC4-5D6E-409C-BE32-E72D297353CC}">
              <c16:uniqueId val="{00000000-0FE2-4DD1-82E5-513D274D120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SOOJUS!$B$21</c:f>
          <c:strCache>
            <c:ptCount val="1"/>
            <c:pt idx="0">
              <c:v>2025</c:v>
            </c:pt>
          </c:strCache>
        </c:strRef>
      </c:tx>
      <c:overlay val="0"/>
      <c:txPr>
        <a:bodyPr/>
        <a:lstStyle/>
        <a:p>
          <a:pPr>
            <a:defRPr sz="1000"/>
          </a:pPr>
          <a:endParaRPr lang="et-EE"/>
        </a:p>
      </c:txPr>
    </c:title>
    <c:autoTitleDeleted val="0"/>
    <c:plotArea>
      <c:layout/>
      <c:lineChart>
        <c:grouping val="standard"/>
        <c:varyColors val="0"/>
        <c:ser>
          <c:idx val="1"/>
          <c:order val="0"/>
          <c:tx>
            <c:strRef>
              <c:f>SOOJUS!$C$21</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SOOJUS!$D$21:$O$21</c:f>
              <c:numCache>
                <c:formatCode>#\ ##0.0</c:formatCode>
                <c:ptCount val="12"/>
              </c:numCache>
            </c:numRef>
          </c:val>
          <c:smooth val="0"/>
          <c:extLst>
            <c:ext xmlns:c16="http://schemas.microsoft.com/office/drawing/2014/chart" uri="{C3380CC4-5D6E-409C-BE32-E72D297353CC}">
              <c16:uniqueId val="{00000000-809D-4191-98DE-F779DBCB7183}"/>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SOOJUS!$B$23</c:f>
          <c:strCache>
            <c:ptCount val="1"/>
            <c:pt idx="0">
              <c:v>2026</c:v>
            </c:pt>
          </c:strCache>
        </c:strRef>
      </c:tx>
      <c:overlay val="0"/>
      <c:txPr>
        <a:bodyPr/>
        <a:lstStyle/>
        <a:p>
          <a:pPr>
            <a:defRPr sz="1000"/>
          </a:pPr>
          <a:endParaRPr lang="et-EE"/>
        </a:p>
      </c:txPr>
    </c:title>
    <c:autoTitleDeleted val="0"/>
    <c:plotArea>
      <c:layout/>
      <c:lineChart>
        <c:grouping val="standard"/>
        <c:varyColors val="0"/>
        <c:ser>
          <c:idx val="1"/>
          <c:order val="0"/>
          <c:tx>
            <c:strRef>
              <c:f>SOOJUS!$C$23</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SOOJUS!$D$23:$O$23</c:f>
              <c:numCache>
                <c:formatCode>#\ ##0.0</c:formatCode>
                <c:ptCount val="12"/>
              </c:numCache>
            </c:numRef>
          </c:val>
          <c:smooth val="0"/>
          <c:extLst>
            <c:ext xmlns:c16="http://schemas.microsoft.com/office/drawing/2014/chart" uri="{C3380CC4-5D6E-409C-BE32-E72D297353CC}">
              <c16:uniqueId val="{00000000-91FE-4B32-8D55-2CC3B048839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SOOJUS!$B$25</c:f>
          <c:strCache>
            <c:ptCount val="1"/>
            <c:pt idx="0">
              <c:v>2027</c:v>
            </c:pt>
          </c:strCache>
        </c:strRef>
      </c:tx>
      <c:overlay val="0"/>
      <c:txPr>
        <a:bodyPr/>
        <a:lstStyle/>
        <a:p>
          <a:pPr>
            <a:defRPr sz="1000"/>
          </a:pPr>
          <a:endParaRPr lang="et-EE"/>
        </a:p>
      </c:txPr>
    </c:title>
    <c:autoTitleDeleted val="0"/>
    <c:plotArea>
      <c:layout/>
      <c:lineChart>
        <c:grouping val="standard"/>
        <c:varyColors val="0"/>
        <c:ser>
          <c:idx val="1"/>
          <c:order val="0"/>
          <c:tx>
            <c:strRef>
              <c:f>SOOJUS!$C$25</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SOOJUS!$D$25:$O$25</c:f>
              <c:numCache>
                <c:formatCode>#\ ##0.0</c:formatCode>
                <c:ptCount val="12"/>
              </c:numCache>
            </c:numRef>
          </c:val>
          <c:smooth val="0"/>
          <c:extLst>
            <c:ext xmlns:c16="http://schemas.microsoft.com/office/drawing/2014/chart" uri="{C3380CC4-5D6E-409C-BE32-E72D297353CC}">
              <c16:uniqueId val="{00000000-9D08-4076-8611-40E394E02126}"/>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SOOJUS!$B$27</c:f>
          <c:strCache>
            <c:ptCount val="1"/>
            <c:pt idx="0">
              <c:v>2028</c:v>
            </c:pt>
          </c:strCache>
        </c:strRef>
      </c:tx>
      <c:overlay val="0"/>
      <c:txPr>
        <a:bodyPr/>
        <a:lstStyle/>
        <a:p>
          <a:pPr>
            <a:defRPr sz="1000"/>
          </a:pPr>
          <a:endParaRPr lang="et-EE"/>
        </a:p>
      </c:txPr>
    </c:title>
    <c:autoTitleDeleted val="0"/>
    <c:plotArea>
      <c:layout/>
      <c:lineChart>
        <c:grouping val="standard"/>
        <c:varyColors val="0"/>
        <c:ser>
          <c:idx val="1"/>
          <c:order val="0"/>
          <c:tx>
            <c:strRef>
              <c:f>SOOJUS!$C$27</c:f>
              <c:strCache>
                <c:ptCount val="1"/>
                <c:pt idx="0">
                  <c:v>Soojusenergia tarbimine kontoris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SOOJUS!$D$11:$O$14</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SOOJUS!$D$27:$O$27</c:f>
              <c:numCache>
                <c:formatCode>#\ ##0.0</c:formatCode>
                <c:ptCount val="12"/>
              </c:numCache>
            </c:numRef>
          </c:val>
          <c:smooth val="0"/>
          <c:extLst>
            <c:ext xmlns:c16="http://schemas.microsoft.com/office/drawing/2014/chart" uri="{C3380CC4-5D6E-409C-BE32-E72D297353CC}">
              <c16:uniqueId val="{00000000-41EC-4D57-81FD-C6985708A9AD}"/>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VESI!$B$15</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VESI!$C$15</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VESI!$D$15:$O$15</c:f>
              <c:numCache>
                <c:formatCode>#\ ##0.0</c:formatCode>
                <c:ptCount val="12"/>
              </c:numCache>
            </c:numRef>
          </c:val>
          <c:smooth val="0"/>
          <c:extLst>
            <c:ext xmlns:c16="http://schemas.microsoft.com/office/drawing/2014/chart" uri="{C3380CC4-5D6E-409C-BE32-E72D297353CC}">
              <c16:uniqueId val="{00000000-7373-4A78-AC06-4383297A597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VESI!$B$17</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VESI!$C$17</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VESI!$D$17:$O$17</c:f>
              <c:numCache>
                <c:formatCode>#\ ##0.0</c:formatCode>
                <c:ptCount val="12"/>
              </c:numCache>
            </c:numRef>
          </c:val>
          <c:smooth val="0"/>
          <c:extLst>
            <c:ext xmlns:c16="http://schemas.microsoft.com/office/drawing/2014/chart" uri="{C3380CC4-5D6E-409C-BE32-E72D297353CC}">
              <c16:uniqueId val="{00000000-AF7B-4586-AD94-CA689D150A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VESI!$B$19</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VESI!$C$19</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VESI!$D$19:$O$19</c:f>
              <c:numCache>
                <c:formatCode>#\ ##0.0</c:formatCode>
                <c:ptCount val="12"/>
              </c:numCache>
            </c:numRef>
          </c:val>
          <c:smooth val="0"/>
          <c:extLst>
            <c:ext xmlns:c16="http://schemas.microsoft.com/office/drawing/2014/chart" uri="{C3380CC4-5D6E-409C-BE32-E72D297353CC}">
              <c16:uniqueId val="{00000000-BE21-4F08-B5A9-1D15DF12CDA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VESI!$B$21</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VESI!$C$21</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VESI!$D$21:$O$21</c:f>
              <c:numCache>
                <c:formatCode>#\ ##0.0</c:formatCode>
                <c:ptCount val="12"/>
              </c:numCache>
            </c:numRef>
          </c:val>
          <c:smooth val="0"/>
          <c:extLst>
            <c:ext xmlns:c16="http://schemas.microsoft.com/office/drawing/2014/chart" uri="{C3380CC4-5D6E-409C-BE32-E72D297353CC}">
              <c16:uniqueId val="{00000000-5AD9-4D82-B8A0-5FE57550943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VESI!$B$23</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VESI!$C$23</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VESI!$D$23:$O$23</c:f>
              <c:numCache>
                <c:formatCode>#\ ##0.0</c:formatCode>
                <c:ptCount val="12"/>
              </c:numCache>
            </c:numRef>
          </c:val>
          <c:smooth val="0"/>
          <c:extLst>
            <c:ext xmlns:c16="http://schemas.microsoft.com/office/drawing/2014/chart" uri="{C3380CC4-5D6E-409C-BE32-E72D297353CC}">
              <c16:uniqueId val="{00000000-0295-4910-8138-E10BF21575B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VESI!$B$11</c:f>
          <c:strCache>
            <c:ptCount val="1"/>
            <c:pt idx="0">
              <c:v>2022</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VESI!$C$11</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VESI!$D$11:$O$11</c:f>
              <c:numCache>
                <c:formatCode>#\ ##0.0</c:formatCode>
                <c:ptCount val="12"/>
              </c:numCache>
            </c:numRef>
          </c:val>
          <c:smooth val="0"/>
          <c:extLst>
            <c:ext xmlns:c16="http://schemas.microsoft.com/office/drawing/2014/chart" uri="{C3380CC4-5D6E-409C-BE32-E72D297353CC}">
              <c16:uniqueId val="{00000000-3175-407E-94C6-EA42C0116DB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VESI!$B$13</c:f>
          <c:strCache>
            <c:ptCount val="1"/>
            <c:pt idx="0">
              <c:v>2023</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VESI!$C$13</c:f>
              <c:strCache>
                <c:ptCount val="1"/>
                <c:pt idx="0">
                  <c:v>Veetarbimine kontoris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VESI!$D$9:$O$10</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VESI!$D$13:$O$13</c:f>
              <c:numCache>
                <c:formatCode>#\ ##0.0</c:formatCode>
                <c:ptCount val="12"/>
              </c:numCache>
            </c:numRef>
          </c:val>
          <c:smooth val="0"/>
          <c:extLst>
            <c:ext xmlns:c16="http://schemas.microsoft.com/office/drawing/2014/chart" uri="{C3380CC4-5D6E-409C-BE32-E72D297353CC}">
              <c16:uniqueId val="{00000000-455C-4806-860F-7B5707B08B2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 ##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KOOND!$B$54</c:f>
              <c:strCache>
                <c:ptCount val="1"/>
                <c:pt idx="0">
                  <c:v>Olmejäätmete teke kontoris töötaja kohta (kg/in)</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KOOND!$C$45:$I$45</c:f>
              <c:numCache>
                <c:formatCode>General</c:formatCode>
                <c:ptCount val="7"/>
                <c:pt idx="0">
                  <c:v>2022</c:v>
                </c:pt>
                <c:pt idx="1">
                  <c:v>2023</c:v>
                </c:pt>
                <c:pt idx="2">
                  <c:v>2024</c:v>
                </c:pt>
                <c:pt idx="3">
                  <c:v>2025</c:v>
                </c:pt>
                <c:pt idx="4">
                  <c:v>2026</c:v>
                </c:pt>
                <c:pt idx="5">
                  <c:v>2027</c:v>
                </c:pt>
                <c:pt idx="6">
                  <c:v>2028</c:v>
                </c:pt>
              </c:numCache>
            </c:numRef>
          </c:cat>
          <c:val>
            <c:numRef>
              <c:f>KOOND!$C$54:$I$54</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0E-4F68-B549-E4BC3940B606}"/>
            </c:ext>
          </c:extLst>
        </c:ser>
        <c:dLbls>
          <c:showLegendKey val="0"/>
          <c:showVal val="1"/>
          <c:showCatName val="0"/>
          <c:showSerName val="0"/>
          <c:showPercent val="0"/>
          <c:showBubbleSize val="0"/>
        </c:dLbls>
        <c:marker val="1"/>
        <c:smooth val="0"/>
        <c:axId val="1090777784"/>
        <c:axId val="1090782704"/>
      </c:lineChart>
      <c:catAx>
        <c:axId val="1090777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090782704"/>
        <c:crosses val="autoZero"/>
        <c:auto val="1"/>
        <c:lblAlgn val="ctr"/>
        <c:lblOffset val="100"/>
        <c:noMultiLvlLbl val="0"/>
      </c:catAx>
      <c:valAx>
        <c:axId val="1090782704"/>
        <c:scaling>
          <c:orientation val="minMax"/>
        </c:scaling>
        <c:delete val="1"/>
        <c:axPos val="l"/>
        <c:numFmt formatCode="#\ ##0.0" sourceLinked="1"/>
        <c:majorTickMark val="none"/>
        <c:minorTickMark val="none"/>
        <c:tickLblPos val="nextTo"/>
        <c:crossAx val="1090777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KOOND!$B$13</c:f>
              <c:strCache>
                <c:ptCount val="1"/>
                <c:pt idx="0">
                  <c:v>Elektrienergia tarbimine töötaja kohta (kWh/in)</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KOOND!$C$9:$I$9</c:f>
              <c:numCache>
                <c:formatCode>General</c:formatCode>
                <c:ptCount val="7"/>
                <c:pt idx="0">
                  <c:v>2022</c:v>
                </c:pt>
                <c:pt idx="1">
                  <c:v>2023</c:v>
                </c:pt>
                <c:pt idx="2">
                  <c:v>2024</c:v>
                </c:pt>
                <c:pt idx="3">
                  <c:v>2025</c:v>
                </c:pt>
                <c:pt idx="4">
                  <c:v>2026</c:v>
                </c:pt>
                <c:pt idx="5">
                  <c:v>2027</c:v>
                </c:pt>
                <c:pt idx="6">
                  <c:v>2028</c:v>
                </c:pt>
              </c:numCache>
            </c:numRef>
          </c:cat>
          <c:val>
            <c:numRef>
              <c:f>KOOND!$C$13:$I$13</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DC5-4078-A193-4DDE0AF24DEC}"/>
            </c:ext>
          </c:extLst>
        </c:ser>
        <c:dLbls>
          <c:showLegendKey val="0"/>
          <c:showVal val="1"/>
          <c:showCatName val="0"/>
          <c:showSerName val="0"/>
          <c:showPercent val="0"/>
          <c:showBubbleSize val="0"/>
        </c:dLbls>
        <c:marker val="1"/>
        <c:smooth val="0"/>
        <c:axId val="743040032"/>
        <c:axId val="743047576"/>
      </c:lineChart>
      <c:catAx>
        <c:axId val="743040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743047576"/>
        <c:crosses val="autoZero"/>
        <c:auto val="1"/>
        <c:lblAlgn val="ctr"/>
        <c:lblOffset val="100"/>
        <c:noMultiLvlLbl val="0"/>
      </c:catAx>
      <c:valAx>
        <c:axId val="743047576"/>
        <c:scaling>
          <c:orientation val="minMax"/>
        </c:scaling>
        <c:delete val="1"/>
        <c:axPos val="l"/>
        <c:numFmt formatCode="#\ ##0.0" sourceLinked="1"/>
        <c:majorTickMark val="none"/>
        <c:minorTickMark val="none"/>
        <c:tickLblPos val="nextTo"/>
        <c:crossAx val="74304003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KOOND!$B$12</c:f>
              <c:strCache>
                <c:ptCount val="1"/>
                <c:pt idx="0">
                  <c:v>Elektrienergia tarbimine kokku (kWh)</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KOOND!$C$9:$I$9</c:f>
              <c:numCache>
                <c:formatCode>General</c:formatCode>
                <c:ptCount val="7"/>
                <c:pt idx="0">
                  <c:v>2022</c:v>
                </c:pt>
                <c:pt idx="1">
                  <c:v>2023</c:v>
                </c:pt>
                <c:pt idx="2">
                  <c:v>2024</c:v>
                </c:pt>
                <c:pt idx="3">
                  <c:v>2025</c:v>
                </c:pt>
                <c:pt idx="4">
                  <c:v>2026</c:v>
                </c:pt>
                <c:pt idx="5">
                  <c:v>2027</c:v>
                </c:pt>
                <c:pt idx="6">
                  <c:v>2028</c:v>
                </c:pt>
              </c:numCache>
            </c:numRef>
          </c:cat>
          <c:val>
            <c:numRef>
              <c:f>KOOND!$C$12:$I$12</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14-4562-AE2B-B722BD86FBE6}"/>
            </c:ext>
          </c:extLst>
        </c:ser>
        <c:dLbls>
          <c:dLblPos val="t"/>
          <c:showLegendKey val="0"/>
          <c:showVal val="1"/>
          <c:showCatName val="0"/>
          <c:showSerName val="0"/>
          <c:showPercent val="0"/>
          <c:showBubbleSize val="0"/>
        </c:dLbls>
        <c:marker val="1"/>
        <c:smooth val="0"/>
        <c:axId val="322193600"/>
        <c:axId val="322200672"/>
      </c:lineChart>
      <c:catAx>
        <c:axId val="32219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0672"/>
        <c:crosses val="autoZero"/>
        <c:auto val="1"/>
        <c:lblAlgn val="ctr"/>
        <c:lblOffset val="100"/>
        <c:noMultiLvlLbl val="0"/>
      </c:catAx>
      <c:valAx>
        <c:axId val="322200672"/>
        <c:scaling>
          <c:orientation val="minMax"/>
        </c:scaling>
        <c:delete val="1"/>
        <c:axPos val="l"/>
        <c:numFmt formatCode="#\ ##0.0" sourceLinked="1"/>
        <c:majorTickMark val="none"/>
        <c:minorTickMark val="none"/>
        <c:tickLblPos val="nextTo"/>
        <c:crossAx val="32219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KOOND!$B$20</c:f>
              <c:strCache>
                <c:ptCount val="1"/>
                <c:pt idx="0">
                  <c:v>Soojusenergia tarbimine kontoris (kWh)</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KOOND!$C$19:$I$19</c:f>
              <c:numCache>
                <c:formatCode>General</c:formatCode>
                <c:ptCount val="7"/>
                <c:pt idx="0">
                  <c:v>2022</c:v>
                </c:pt>
                <c:pt idx="1">
                  <c:v>2023</c:v>
                </c:pt>
                <c:pt idx="2">
                  <c:v>2024</c:v>
                </c:pt>
                <c:pt idx="3">
                  <c:v>2025</c:v>
                </c:pt>
                <c:pt idx="4">
                  <c:v>2026</c:v>
                </c:pt>
                <c:pt idx="5">
                  <c:v>2027</c:v>
                </c:pt>
                <c:pt idx="6">
                  <c:v>2028</c:v>
                </c:pt>
              </c:numCache>
            </c:numRef>
          </c:cat>
          <c:val>
            <c:numRef>
              <c:f>KOOND!$C$20:$I$20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E32-4922-BA8B-C09A9CCDADE3}"/>
            </c:ext>
          </c:extLst>
        </c:ser>
        <c:dLbls>
          <c:dLblPos val="t"/>
          <c:showLegendKey val="0"/>
          <c:showVal val="1"/>
          <c:showCatName val="0"/>
          <c:showSerName val="0"/>
          <c:showPercent val="0"/>
          <c:showBubbleSize val="0"/>
        </c:dLbls>
        <c:marker val="1"/>
        <c:smooth val="0"/>
        <c:axId val="309256784"/>
        <c:axId val="309262192"/>
      </c:lineChart>
      <c:catAx>
        <c:axId val="3092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09262192"/>
        <c:crosses val="autoZero"/>
        <c:auto val="1"/>
        <c:lblAlgn val="ctr"/>
        <c:lblOffset val="100"/>
        <c:noMultiLvlLbl val="0"/>
      </c:catAx>
      <c:valAx>
        <c:axId val="309262192"/>
        <c:scaling>
          <c:orientation val="minMax"/>
        </c:scaling>
        <c:delete val="1"/>
        <c:axPos val="l"/>
        <c:numFmt formatCode="#\ ##0.0" sourceLinked="1"/>
        <c:majorTickMark val="none"/>
        <c:minorTickMark val="none"/>
        <c:tickLblPos val="nextTo"/>
        <c:crossAx val="309256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KOOND!$B$21</c:f>
              <c:strCache>
                <c:ptCount val="1"/>
                <c:pt idx="0">
                  <c:v>Soojusenergia tarbimine kontori ruutmeetri kohta (kWh/m²)</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KOOND!$C$19:$I$19</c:f>
              <c:numCache>
                <c:formatCode>General</c:formatCode>
                <c:ptCount val="7"/>
                <c:pt idx="0">
                  <c:v>2022</c:v>
                </c:pt>
                <c:pt idx="1">
                  <c:v>2023</c:v>
                </c:pt>
                <c:pt idx="2">
                  <c:v>2024</c:v>
                </c:pt>
                <c:pt idx="3">
                  <c:v>2025</c:v>
                </c:pt>
                <c:pt idx="4">
                  <c:v>2026</c:v>
                </c:pt>
                <c:pt idx="5">
                  <c:v>2027</c:v>
                </c:pt>
                <c:pt idx="6">
                  <c:v>2028</c:v>
                </c:pt>
              </c:numCache>
            </c:numRef>
          </c:cat>
          <c:val>
            <c:numRef>
              <c:f>KOOND!$C$21:$I$21</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E6-43DA-9F03-742632A6E3AC}"/>
            </c:ext>
          </c:extLst>
        </c:ser>
        <c:dLbls>
          <c:showLegendKey val="0"/>
          <c:showVal val="0"/>
          <c:showCatName val="0"/>
          <c:showSerName val="0"/>
          <c:showPercent val="0"/>
          <c:showBubbleSize val="0"/>
        </c:dLbls>
        <c:marker val="1"/>
        <c:smooth val="0"/>
        <c:axId val="322214400"/>
        <c:axId val="322203584"/>
      </c:lineChart>
      <c:catAx>
        <c:axId val="3222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3584"/>
        <c:crosses val="autoZero"/>
        <c:auto val="1"/>
        <c:lblAlgn val="ctr"/>
        <c:lblOffset val="100"/>
        <c:noMultiLvlLbl val="0"/>
      </c:catAx>
      <c:valAx>
        <c:axId val="322203584"/>
        <c:scaling>
          <c:orientation val="minMax"/>
        </c:scaling>
        <c:delete val="1"/>
        <c:axPos val="l"/>
        <c:numFmt formatCode="#\ ##0.0" sourceLinked="1"/>
        <c:majorTickMark val="none"/>
        <c:minorTickMark val="none"/>
        <c:tickLblPos val="nextTo"/>
        <c:crossAx val="3222144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KOOND!$B$28</c:f>
              <c:strCache>
                <c:ptCount val="1"/>
                <c:pt idx="0">
                  <c:v>Veetarbimine kontoris (m³)</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KOOND!$C$27:$I$27</c:f>
              <c:numCache>
                <c:formatCode>General</c:formatCode>
                <c:ptCount val="7"/>
                <c:pt idx="0">
                  <c:v>2022</c:v>
                </c:pt>
                <c:pt idx="1">
                  <c:v>2023</c:v>
                </c:pt>
                <c:pt idx="2">
                  <c:v>2024</c:v>
                </c:pt>
                <c:pt idx="3">
                  <c:v>2025</c:v>
                </c:pt>
                <c:pt idx="4">
                  <c:v>2026</c:v>
                </c:pt>
                <c:pt idx="5">
                  <c:v>2027</c:v>
                </c:pt>
                <c:pt idx="6">
                  <c:v>2028</c:v>
                </c:pt>
              </c:numCache>
            </c:numRef>
          </c:cat>
          <c:val>
            <c:numRef>
              <c:f>KOOND!$C$28:$I$28</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9-45AF-93B7-ECF45AD78B74}"/>
            </c:ext>
          </c:extLst>
        </c:ser>
        <c:dLbls>
          <c:dLblPos val="t"/>
          <c:showLegendKey val="0"/>
          <c:showVal val="1"/>
          <c:showCatName val="0"/>
          <c:showSerName val="0"/>
          <c:showPercent val="0"/>
          <c:showBubbleSize val="0"/>
        </c:dLbls>
        <c:marker val="1"/>
        <c:smooth val="0"/>
        <c:axId val="383965584"/>
        <c:axId val="383949360"/>
      </c:lineChart>
      <c:catAx>
        <c:axId val="3839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83949360"/>
        <c:crosses val="autoZero"/>
        <c:auto val="1"/>
        <c:lblAlgn val="ctr"/>
        <c:lblOffset val="100"/>
        <c:noMultiLvlLbl val="0"/>
      </c:catAx>
      <c:valAx>
        <c:axId val="383949360"/>
        <c:scaling>
          <c:orientation val="minMax"/>
        </c:scaling>
        <c:delete val="1"/>
        <c:axPos val="l"/>
        <c:numFmt formatCode="#\ ##0.0" sourceLinked="1"/>
        <c:majorTickMark val="none"/>
        <c:minorTickMark val="none"/>
        <c:tickLblPos val="nextTo"/>
        <c:crossAx val="3839655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KOOND!$B$29</c:f>
              <c:strCache>
                <c:ptCount val="1"/>
                <c:pt idx="0">
                  <c:v>Veetarbimine kontoris töötaja kohta (m³/in)</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KOOND!$C$27:$I$27</c:f>
              <c:numCache>
                <c:formatCode>General</c:formatCode>
                <c:ptCount val="7"/>
                <c:pt idx="0">
                  <c:v>2022</c:v>
                </c:pt>
                <c:pt idx="1">
                  <c:v>2023</c:v>
                </c:pt>
                <c:pt idx="2">
                  <c:v>2024</c:v>
                </c:pt>
                <c:pt idx="3">
                  <c:v>2025</c:v>
                </c:pt>
                <c:pt idx="4">
                  <c:v>2026</c:v>
                </c:pt>
                <c:pt idx="5">
                  <c:v>2027</c:v>
                </c:pt>
                <c:pt idx="6">
                  <c:v>2028</c:v>
                </c:pt>
              </c:numCache>
            </c:numRef>
          </c:cat>
          <c:val>
            <c:numRef>
              <c:f>KOOND!$C$29:$I$29</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AED-4500-840B-C4818B68CBF6}"/>
            </c:ext>
          </c:extLst>
        </c:ser>
        <c:dLbls>
          <c:dLblPos val="t"/>
          <c:showLegendKey val="0"/>
          <c:showVal val="1"/>
          <c:showCatName val="0"/>
          <c:showSerName val="0"/>
          <c:showPercent val="0"/>
          <c:showBubbleSize val="0"/>
        </c:dLbls>
        <c:marker val="1"/>
        <c:smooth val="0"/>
        <c:axId val="215746720"/>
        <c:axId val="215754624"/>
      </c:lineChart>
      <c:catAx>
        <c:axId val="2157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215754624"/>
        <c:crosses val="autoZero"/>
        <c:auto val="1"/>
        <c:lblAlgn val="ctr"/>
        <c:lblOffset val="100"/>
        <c:noMultiLvlLbl val="0"/>
      </c:catAx>
      <c:valAx>
        <c:axId val="215754624"/>
        <c:scaling>
          <c:orientation val="minMax"/>
        </c:scaling>
        <c:delete val="1"/>
        <c:axPos val="l"/>
        <c:numFmt formatCode="#\ ##0.0" sourceLinked="1"/>
        <c:majorTickMark val="none"/>
        <c:minorTickMark val="none"/>
        <c:tickLblPos val="nextTo"/>
        <c:crossAx val="21574672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KOOND!$B$36</c:f>
              <c:strCache>
                <c:ptCount val="1"/>
                <c:pt idx="0">
                  <c:v>Ostetud kontoripaber (kg)</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KOOND!$C$35:$I$35</c:f>
              <c:numCache>
                <c:formatCode>General</c:formatCode>
                <c:ptCount val="7"/>
                <c:pt idx="0">
                  <c:v>2022</c:v>
                </c:pt>
                <c:pt idx="1">
                  <c:v>2023</c:v>
                </c:pt>
                <c:pt idx="2">
                  <c:v>2024</c:v>
                </c:pt>
                <c:pt idx="3">
                  <c:v>2025</c:v>
                </c:pt>
                <c:pt idx="4">
                  <c:v>2026</c:v>
                </c:pt>
                <c:pt idx="5">
                  <c:v>2027</c:v>
                </c:pt>
                <c:pt idx="6">
                  <c:v>2028</c:v>
                </c:pt>
              </c:numCache>
            </c:numRef>
          </c:cat>
          <c:val>
            <c:numRef>
              <c:f>KOOND!$C$36:$I$36</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2C-45F5-B9EE-F8726CD0238D}"/>
            </c:ext>
          </c:extLst>
        </c:ser>
        <c:dLbls>
          <c:dLblPos val="t"/>
          <c:showLegendKey val="0"/>
          <c:showVal val="1"/>
          <c:showCatName val="0"/>
          <c:showSerName val="0"/>
          <c:showPercent val="0"/>
          <c:showBubbleSize val="0"/>
        </c:dLbls>
        <c:marker val="1"/>
        <c:smooth val="0"/>
        <c:axId val="147877696"/>
        <c:axId val="147875200"/>
      </c:lineChart>
      <c:catAx>
        <c:axId val="147877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47875200"/>
        <c:crosses val="autoZero"/>
        <c:auto val="1"/>
        <c:lblAlgn val="ctr"/>
        <c:lblOffset val="100"/>
        <c:noMultiLvlLbl val="0"/>
      </c:catAx>
      <c:valAx>
        <c:axId val="147875200"/>
        <c:scaling>
          <c:orientation val="minMax"/>
        </c:scaling>
        <c:delete val="1"/>
        <c:axPos val="l"/>
        <c:numFmt formatCode="#\ ##0.0" sourceLinked="1"/>
        <c:majorTickMark val="none"/>
        <c:minorTickMark val="none"/>
        <c:tickLblPos val="nextTo"/>
        <c:crossAx val="1478776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KOOND!$B$37</c:f>
              <c:strCache>
                <c:ptCount val="1"/>
                <c:pt idx="0">
                  <c:v>Kontoripaberi lehti (A4) töötaja kohta (lehti/in)</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KOOND!$C$35:$I$35</c:f>
              <c:numCache>
                <c:formatCode>General</c:formatCode>
                <c:ptCount val="7"/>
                <c:pt idx="0">
                  <c:v>2022</c:v>
                </c:pt>
                <c:pt idx="1">
                  <c:v>2023</c:v>
                </c:pt>
                <c:pt idx="2">
                  <c:v>2024</c:v>
                </c:pt>
                <c:pt idx="3">
                  <c:v>2025</c:v>
                </c:pt>
                <c:pt idx="4">
                  <c:v>2026</c:v>
                </c:pt>
                <c:pt idx="5">
                  <c:v>2027</c:v>
                </c:pt>
                <c:pt idx="6">
                  <c:v>2028</c:v>
                </c:pt>
              </c:numCache>
            </c:numRef>
          </c:cat>
          <c:val>
            <c:numRef>
              <c:f>KOOND!$C$37:$I$37</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5C6-4660-A039-8C138A01D77E}"/>
            </c:ext>
          </c:extLst>
        </c:ser>
        <c:dLbls>
          <c:dLblPos val="t"/>
          <c:showLegendKey val="0"/>
          <c:showVal val="1"/>
          <c:showCatName val="0"/>
          <c:showSerName val="0"/>
          <c:showPercent val="0"/>
          <c:showBubbleSize val="0"/>
        </c:dLbls>
        <c:marker val="1"/>
        <c:smooth val="0"/>
        <c:axId val="455369216"/>
        <c:axId val="455353408"/>
      </c:lineChart>
      <c:catAx>
        <c:axId val="4553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455353408"/>
        <c:crosses val="autoZero"/>
        <c:auto val="1"/>
        <c:lblAlgn val="ctr"/>
        <c:lblOffset val="100"/>
        <c:noMultiLvlLbl val="0"/>
      </c:catAx>
      <c:valAx>
        <c:axId val="455353408"/>
        <c:scaling>
          <c:orientation val="minMax"/>
        </c:scaling>
        <c:delete val="1"/>
        <c:axPos val="l"/>
        <c:numFmt formatCode="#\ ##0.0" sourceLinked="1"/>
        <c:majorTickMark val="none"/>
        <c:minorTickMark val="none"/>
        <c:tickLblPos val="nextTo"/>
        <c:crossAx val="45536921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r>
              <a:rPr lang="en-US" sz="1000" b="1" i="0" cap="all" spc="100" baseline="0">
                <a:effectLst/>
              </a:rPr>
              <a:t>Ol</a:t>
            </a:r>
            <a:r>
              <a:rPr lang="et-EE" sz="1000" b="1" i="0" cap="all" spc="100" baseline="0">
                <a:effectLst/>
              </a:rPr>
              <a:t>mejäätmete teke (kg) ja liigiti kogutud jäätmete osakaal</a:t>
            </a:r>
            <a:endParaRPr lang="en-GB" sz="1000" spc="100" baseline="0">
              <a:effectLst/>
            </a:endParaRPr>
          </a:p>
        </c:rich>
      </c:tx>
      <c:overlay val="0"/>
      <c:spPr>
        <a:noFill/>
        <a:ln>
          <a:noFill/>
        </a:ln>
        <a:effectLst/>
      </c:spPr>
      <c:txPr>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clustered"/>
        <c:varyColors val="0"/>
        <c:ser>
          <c:idx val="0"/>
          <c:order val="0"/>
          <c:tx>
            <c:strRef>
              <c:f>KOOND!$B$52</c:f>
              <c:strCache>
                <c:ptCount val="1"/>
                <c:pt idx="0">
                  <c:v>Olmejäätmete teke kokku (kg)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KOOND!$C$45:$I$45</c:f>
              <c:numCache>
                <c:formatCode>General</c:formatCode>
                <c:ptCount val="7"/>
                <c:pt idx="0">
                  <c:v>2022</c:v>
                </c:pt>
                <c:pt idx="1">
                  <c:v>2023</c:v>
                </c:pt>
                <c:pt idx="2">
                  <c:v>2024</c:v>
                </c:pt>
                <c:pt idx="3">
                  <c:v>2025</c:v>
                </c:pt>
                <c:pt idx="4">
                  <c:v>2026</c:v>
                </c:pt>
                <c:pt idx="5">
                  <c:v>2027</c:v>
                </c:pt>
                <c:pt idx="6">
                  <c:v>2028</c:v>
                </c:pt>
              </c:numCache>
            </c:numRef>
          </c:cat>
          <c:val>
            <c:numRef>
              <c:f>KOOND!$C$52:$I$52</c:f>
              <c:numCache>
                <c:formatCode>#\ ##0.0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96-48FF-9FD5-F905E53C482B}"/>
            </c:ext>
          </c:extLst>
        </c:ser>
        <c:dLbls>
          <c:showLegendKey val="0"/>
          <c:showVal val="1"/>
          <c:showCatName val="0"/>
          <c:showSerName val="0"/>
          <c:showPercent val="0"/>
          <c:showBubbleSize val="0"/>
        </c:dLbls>
        <c:gapWidth val="79"/>
        <c:overlap val="100"/>
        <c:axId val="1338821872"/>
        <c:axId val="1338818960"/>
      </c:barChart>
      <c:lineChart>
        <c:grouping val="standard"/>
        <c:varyColors val="0"/>
        <c:ser>
          <c:idx val="1"/>
          <c:order val="1"/>
          <c:tx>
            <c:strRef>
              <c:f>KOOND!$B$55</c:f>
              <c:strCache>
                <c:ptCount val="1"/>
                <c:pt idx="0">
                  <c:v>Liigiti kogutud jäätmete osakaal (%)</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tx>
                <c:strRef>
                  <c:f>KOOND!$C$55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{5D77A98A-06AA-4F40-8F82-C38A9A14B90C}</c15:txfldGUID>
                      <c15:f>KOOND!$C$55</c15:f>
                      <c15:dlblFieldTableCache>
                        <c:ptCount val="1"/>
                        <c:pt idx="0">
                          <c:v>#DIV/0!</c:v>
                        </c:pt>
                      </c15:dlblFieldTableCache>
                    </c15:dlblFTEntry>
                  </c15:dlblFieldTable>
                  <c15:showDataLabelsRange val="0"/>
                </c:ext>
                <c:ext xmlns:c16="http://schemas.microsoft.com/office/drawing/2014/chart" uri="{C3380CC4-5D6E-409C-BE32-E72D297353CC}">
                  <c16:uniqueId val="{00000002-D396-48FF-9FD5-F905E53C482B}"/>
                </c:ext>
              </c:extLst>
            </c:dLbl>
            <c:dLbl>
              <c:idx val="1"/>
              <c:tx>
                <c:strRef>
                  <c:f>KOOND!$D$55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{EDB2CC21-B1B9-4FE8-B116-4A3998C41E62}</c15:txfldGUID>
                      <c15:f>KOOND!$D$55</c15:f>
                      <c15:dlblFieldTableCache>
                        <c:ptCount val="1"/>
                        <c:pt idx="0">
                          <c:v>#DIV/0!</c:v>
                        </c:pt>
                      </c15:dlblFieldTableCache>
                    </c15:dlblFTEntry>
                  </c15:dlblFieldTable>
                  <c15:showDataLabelsRange val="0"/>
                </c:ext>
                <c:ext xmlns:c16="http://schemas.microsoft.com/office/drawing/2014/chart" uri="{C3380CC4-5D6E-409C-BE32-E72D297353CC}">
                  <c16:uniqueId val="{00000003-D396-48FF-9FD5-F905E53C482B}"/>
                </c:ext>
              </c:extLst>
            </c:dLbl>
            <c:dLbl>
              <c:idx val="2"/>
              <c:tx>
                <c:strRef>
                  <c:f>KOOND!$E$55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{23253A47-4D4E-4A32-9C60-11FE6457A328}</c15:txfldGUID>
                      <c15:f>KOOND!$E$55</c15:f>
                      <c15:dlblFieldTableCache>
                        <c:ptCount val="1"/>
                        <c:pt idx="0">
                          <c:v>#DIV/0!</c:v>
                        </c:pt>
                      </c15:dlblFieldTableCache>
                    </c15:dlblFTEntry>
                  </c15:dlblFieldTable>
                  <c15:showDataLabelsRange val="0"/>
                </c:ext>
                <c:ext xmlns:c16="http://schemas.microsoft.com/office/drawing/2014/chart" uri="{C3380CC4-5D6E-409C-BE32-E72D297353CC}">
                  <c16:uniqueId val="{00000004-D396-48FF-9FD5-F905E53C482B}"/>
                </c:ext>
              </c:extLst>
            </c:dLbl>
            <c:dLbl>
              <c:idx val="3"/>
              <c:tx>
                <c:strRef>
                  <c:f>KOOND!$F$55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{11FB35CF-8CFC-4D29-B9F8-4AB0BC9F9105}</c15:txfldGUID>
                      <c15:f>KOOND!$F$55</c15:f>
                      <c15:dlblFieldTableCache>
                        <c:ptCount val="1"/>
                        <c:pt idx="0">
                          <c:v>#DIV/0!</c:v>
                        </c:pt>
                      </c15:dlblFieldTableCache>
                    </c15:dlblFTEntry>
                  </c15:dlblFieldTable>
                  <c15:showDataLabelsRange val="0"/>
                </c:ext>
                <c:ext xmlns:c16="http://schemas.microsoft.com/office/drawing/2014/chart" uri="{C3380CC4-5D6E-409C-BE32-E72D297353CC}">
                  <c16:uniqueId val="{00000005-D396-48FF-9FD5-F905E53C482B}"/>
                </c:ext>
              </c:extLst>
            </c:dLbl>
            <c:dLbl>
              <c:idx val="4"/>
              <c:tx>
                <c:strRef>
                  <c:f>KOOND!$G$55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{C8EEA09A-E3DD-4740-A556-481454EC662B}</c15:txfldGUID>
                      <c15:f>KOOND!$G$55</c15:f>
                      <c15:dlblFieldTableCache>
                        <c:ptCount val="1"/>
                        <c:pt idx="0">
                          <c:v>#DIV/0!</c:v>
                        </c:pt>
                      </c15:dlblFieldTableCache>
                    </c15:dlblFTEntry>
                  </c15:dlblFieldTable>
                  <c15:showDataLabelsRange val="0"/>
                </c:ext>
                <c:ext xmlns:c16="http://schemas.microsoft.com/office/drawing/2014/chart" uri="{C3380CC4-5D6E-409C-BE32-E72D297353CC}">
                  <c16:uniqueId val="{00000006-D396-48FF-9FD5-F905E53C482B}"/>
                </c:ext>
              </c:extLst>
            </c:dLbl>
            <c:dLbl>
              <c:idx val="5"/>
              <c:tx>
                <c:strRef>
                  <c:f>KOOND!$H$55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{ACD03ED9-5AB5-425B-B065-F9528EA92376}</c15:txfldGUID>
                      <c15:f>KOOND!$H$55</c15:f>
                      <c15:dlblFieldTableCache>
                        <c:ptCount val="1"/>
                        <c:pt idx="0">
                          <c:v>#DIV/0!</c:v>
                        </c:pt>
                      </c15:dlblFieldTableCache>
                    </c15:dlblFTEntry>
                  </c15:dlblFieldTable>
                  <c15:showDataLabelsRange val="0"/>
                </c:ext>
                <c:ext xmlns:c16="http://schemas.microsoft.com/office/drawing/2014/chart" uri="{C3380CC4-5D6E-409C-BE32-E72D297353CC}">
                  <c16:uniqueId val="{00000007-D396-48FF-9FD5-F905E53C482B}"/>
                </c:ext>
              </c:extLst>
            </c:dLbl>
            <c:dLbl>
              <c:idx val="6"/>
              <c:tx>
                <c:strRef>
                  <c:f>KOOND!$I$55</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{2BC8C067-6340-42E1-B0FE-711A7933A017}</c15:txfldGUID>
                      <c15:f>KOOND!$I$55</c15:f>
                      <c15:dlblFieldTableCache>
                        <c:ptCount val="1"/>
                        <c:pt idx="0">
                          <c:v>#DIV/0!</c:v>
                        </c:pt>
                      </c15:dlblFieldTableCache>
                    </c15:dlblFTEntry>
                  </c15:dlblFieldTable>
                  <c15:showDataLabelsRange val="0"/>
                </c:ext>
                <c:ext xmlns:c16="http://schemas.microsoft.com/office/drawing/2014/chart" uri="{C3380CC4-5D6E-409C-BE32-E72D297353CC}">
                  <c16:uniqueId val="{00000008-D396-48FF-9FD5-F905E53C48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KOOND!$C$50:$I$50</c:f>
              <c:numCache>
                <c:formatCode>#\ ##0.0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396-48FF-9FD5-F905E53C482B}"/>
            </c:ext>
          </c:extLst>
        </c:ser>
        <c:dLbls>
          <c:showLegendKey val="0"/>
          <c:showVal val="1"/>
          <c:showCatName val="0"/>
          <c:showSerName val="0"/>
          <c:showPercent val="0"/>
          <c:showBubbleSize val="0"/>
        </c:dLbls>
        <c:marker val="1"/>
        <c:smooth val="0"/>
        <c:axId val="1338821872"/>
        <c:axId val="1338818960"/>
      </c:lineChart>
      <c:catAx>
        <c:axId val="133882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18960"/>
        <c:crosses val="autoZero"/>
        <c:auto val="1"/>
        <c:lblAlgn val="ctr"/>
        <c:lblOffset val="100"/>
        <c:noMultiLvlLbl val="0"/>
      </c:catAx>
      <c:valAx>
        <c:axId val="1338818960"/>
        <c:scaling>
          <c:orientation val="minMax"/>
        </c:scaling>
        <c:delete val="0"/>
        <c:axPos val="l"/>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'KHG JALAJÄLG KOOND'!$B$5</c:f>
          <c:strCache>
            <c:ptCount val="1"/>
            <c:pt idx="0">
              <c:v>KHG JALAJÄLG MÕJUALADE KAUPA (CO₂ ekv t/a)</c:v>
            </c:pt>
          </c:strCache>
        </c:strRef>
      </c:tx>
      <c:overlay val="0"/>
      <c:spPr>
        <a:noFill/>
        <a:ln>
          <a:noFill/>
        </a:ln>
        <a:effectLst/>
      </c:spPr>
      <c:txPr>
        <a:bodyPr rot="0" spcFirstLastPara="1" vertOverflow="ellipsis" vert="horz" wrap="square" anchor="ctr" anchorCtr="1"/>
        <a:lstStyle/>
        <a:p>
          <a:pPr>
            <a:defRPr lang="en-US" sz="1050" b="1" i="0" u="none" strike="noStrike" kern="1200" cap="all" spc="120" normalizeH="0" baseline="0">
              <a:solidFill>
                <a:sysClr val="windowText" lastClr="000000">
                  <a:lumMod val="65000"/>
                  <a:lumOff val="35000"/>
                </a:sysClr>
              </a:solidFill>
              <a:latin typeface="+mn-lt"/>
              <a:ea typeface="+mn-ea"/>
              <a:cs typeface="+mn-cs"/>
            </a:defRPr>
          </a:pPr>
          <a:endParaRPr lang="et-EE"/>
        </a:p>
      </c:txPr>
    </c:title>
    <c:autoTitleDeleted val="0"/>
    <c:plotArea>
      <c:layout/>
      <c:barChart>
        <c:barDir val="col"/>
        <c:grouping val="stacked"/>
        <c:varyColors val="0"/>
        <c:ser>
          <c:idx val="2"/>
          <c:order val="0"/>
          <c:tx>
            <c:strRef>
              <c:f>'KHG JALAJÄLG KOOND'!$B$32</c:f>
              <c:strCache>
                <c:ptCount val="1"/>
                <c:pt idx="0">
                  <c:v>Mõjuala 3 ‒ muu kaudne KHG heide </c:v>
                </c:pt>
              </c:strCache>
            </c:strRef>
          </c:tx>
          <c:spPr>
            <a:solidFill>
              <a:srgbClr val="66C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KOOND'!$C$29:$I$29</c:f>
              <c:numCache>
                <c:formatCode>General</c:formatCode>
                <c:ptCount val="7"/>
                <c:pt idx="0">
                  <c:v>2022</c:v>
                </c:pt>
                <c:pt idx="1">
                  <c:v>2023</c:v>
                </c:pt>
                <c:pt idx="2">
                  <c:v>2024</c:v>
                </c:pt>
                <c:pt idx="3">
                  <c:v>2025</c:v>
                </c:pt>
                <c:pt idx="4">
                  <c:v>2026</c:v>
                </c:pt>
                <c:pt idx="5">
                  <c:v>2027</c:v>
                </c:pt>
                <c:pt idx="6">
                  <c:v>2028</c:v>
                </c:pt>
              </c:numCache>
            </c:numRef>
          </c:cat>
          <c:val>
            <c:numRef>
              <c:f>'KHG JALAJÄLG KOOND'!$C$32:$I$32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55-4482-9EA6-96A3233C307C}"/>
            </c:ext>
          </c:extLst>
        </c:ser>
        <c:ser>
          <c:idx val="1"/>
          <c:order val="1"/>
          <c:tx>
            <c:strRef>
              <c:f>'KHG JALAJÄLG KOOND'!$B$31</c:f>
              <c:strCache>
                <c:ptCount val="1"/>
                <c:pt idx="0">
                  <c:v>Mõjuala 2 ‒ energiatarbimisest tulenev kaudne KHG heide</c:v>
                </c:pt>
              </c:strCache>
            </c:strRef>
          </c:tx>
          <c:spPr>
            <a:solidFill>
              <a:srgbClr val="A5FF4B"/>
            </a:solidFill>
            <a:ln>
              <a:solidFill>
                <a:srgbClr val="A5FF4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KOOND'!$C$29:$I$29</c:f>
              <c:numCache>
                <c:formatCode>General</c:formatCode>
                <c:ptCount val="7"/>
                <c:pt idx="0">
                  <c:v>2022</c:v>
                </c:pt>
                <c:pt idx="1">
                  <c:v>2023</c:v>
                </c:pt>
                <c:pt idx="2">
                  <c:v>2024</c:v>
                </c:pt>
                <c:pt idx="3">
                  <c:v>2025</c:v>
                </c:pt>
                <c:pt idx="4">
                  <c:v>2026</c:v>
                </c:pt>
                <c:pt idx="5">
                  <c:v>2027</c:v>
                </c:pt>
                <c:pt idx="6">
                  <c:v>2028</c:v>
                </c:pt>
              </c:numCache>
            </c:numRef>
          </c:cat>
          <c:val>
            <c:numRef>
              <c:f>'KHG JALAJÄLG KOOND'!$C$31:$I$31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E55-4482-9EA6-96A3233C307C}"/>
            </c:ext>
          </c:extLst>
        </c:ser>
        <c:ser>
          <c:idx val="0"/>
          <c:order val="2"/>
          <c:tx>
            <c:strRef>
              <c:f>'KHG JALAJÄLG KOOND'!$B$30</c:f>
              <c:strCache>
                <c:ptCount val="1"/>
                <c:pt idx="0">
                  <c:v>Mõjuala 1 ‒ organisatsiooni omatud/kontrollitud heiteallikatest tulenev otsene KHG heide</c:v>
                </c:pt>
              </c:strCache>
            </c:strRef>
          </c:tx>
          <c:spPr>
            <a:solidFill>
              <a:srgbClr val="DBFF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KOOND'!$C$29:$I$29</c:f>
              <c:numCache>
                <c:formatCode>General</c:formatCode>
                <c:ptCount val="7"/>
                <c:pt idx="0">
                  <c:v>2022</c:v>
                </c:pt>
                <c:pt idx="1">
                  <c:v>2023</c:v>
                </c:pt>
                <c:pt idx="2">
                  <c:v>2024</c:v>
                </c:pt>
                <c:pt idx="3">
                  <c:v>2025</c:v>
                </c:pt>
                <c:pt idx="4">
                  <c:v>2026</c:v>
                </c:pt>
                <c:pt idx="5">
                  <c:v>2027</c:v>
                </c:pt>
                <c:pt idx="6">
                  <c:v>2028</c:v>
                </c:pt>
              </c:numCache>
            </c:numRef>
          </c:cat>
          <c:val>
            <c:numRef>
              <c:f>'KHG JALAJÄLG KOOND'!$C$30:$I$30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E55-4482-9EA6-96A3233C307C}"/>
            </c:ext>
          </c:extLst>
        </c:ser>
        <c:dLbls>
          <c:dLblPos val="ctr"/>
          <c:showLegendKey val="0"/>
          <c:showVal val="1"/>
          <c:showCatName val="0"/>
          <c:showSerName val="0"/>
          <c:showPercent val="0"/>
          <c:showBubbleSize val="0"/>
        </c:dLbls>
        <c:gapWidth val="79"/>
        <c:overlap val="100"/>
        <c:axId val="1343493296"/>
        <c:axId val="1343479984"/>
      </c:barChart>
      <c:catAx>
        <c:axId val="13434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343479984"/>
        <c:crosses val="autoZero"/>
        <c:auto val="1"/>
        <c:lblAlgn val="ctr"/>
        <c:lblOffset val="100"/>
        <c:noMultiLvlLbl val="0"/>
      </c:catAx>
      <c:valAx>
        <c:axId val="134347998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434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horzOverflow="overflow" wrap="square" lIns="0" tIns="0" rIns="0" bIns="0" anchor="ctr" anchorCtr="1"/>
          <a:lstStyle/>
          <a:p>
            <a:pPr algn="ctr" rtl="0">
              <a:defRPr sz="1050" spc="100" baseline="0">
                <a:latin typeface="+mn-lt"/>
              </a:defRPr>
            </a:pPr>
            <a:r>
              <a:rPr lang="et-EE" sz="1050" b="1" i="0" u="none" strike="noStrike" kern="1200" spc="100" baseline="0" dirty="0">
                <a:solidFill>
                  <a:sysClr val="windowText" lastClr="000000">
                    <a:lumMod val="65000"/>
                    <a:lumOff val="35000"/>
                  </a:sysClr>
                </a:solidFill>
                <a:latin typeface="+mn-lt"/>
                <a:ea typeface="+mn-ea"/>
                <a:cs typeface="+mn-cs"/>
              </a:rPr>
              <a:t>SÜSINIKU</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JALAJÄLG</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a:t>
            </a:r>
          </a:p>
        </cx:rich>
      </cx:tx>
    </cx:title>
    <cx:plotArea>
      <cx:plotAreaRegion>
        <cx:series layoutId="sunburst" uniqueId="{177A02C2-F34F-4C81-BD15-F970E0CD2CE2}">
          <cx:dataPt idx="0">
            <cx:spPr>
              <a:solidFill>
                <a:srgbClr val="DBFFB7"/>
              </a:solidFill>
            </cx:spPr>
          </cx:dataPt>
          <cx:dataPt idx="3">
            <cx:spPr>
              <a:solidFill>
                <a:srgbClr val="A5FF4B"/>
              </a:solidFill>
            </cx:spPr>
          </cx:dataPt>
          <cx:dataPt idx="7">
            <cx:spPr>
              <a:solidFill>
                <a:srgbClr val="66CC00"/>
              </a:solidFill>
            </cx:spPr>
          </cx:dataPt>
          <cx:data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1"/>
            <cx:separator>
</cx:separator>
            <cx:dataLabel idx="5">
              <cx:txPr>
                <a:bodyPr spcFirstLastPara="1" vertOverflow="ellipsis" horzOverflow="overflow" wrap="square" lIns="0" tIns="0" rIns="0" bIns="0" anchor="ctr" anchorCtr="1"/>
                <a:lstStyle/>
                <a:p>
                  <a:pPr algn="ctr" rtl="0">
                    <a:defRPr>
                      <a:solidFill>
                        <a:schemeClr val="tx1"/>
                      </a:solidFill>
                    </a:defRPr>
                  </a:pPr>
                  <a:r>
                    <a:rPr lang="et-EE" sz="900" b="0" i="0" u="none" strike="noStrike" baseline="0">
                      <a:solidFill>
                        <a:schemeClr val="tx1"/>
                      </a:solidFill>
                      <a:latin typeface="Calibri" panose="020F0502020204030204"/>
                    </a:rPr>
                    <a:t>Kontori küte
5,2%</a:t>
                  </a:r>
                </a:p>
              </cx:txPr>
              <cx:visibility seriesName="0" categoryName="1" value="1"/>
              <cx:separator>
</cx:separato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85">
  <cs:axisTitle>
    <cs:lnRef idx="0"/>
    <cs:fillRef idx="0"/>
    <cs:effectRef idx="0"/>
    <cs:fontRef idx="minor">
      <a:schemeClr val="tx2"/>
    </cs:fontRef>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2</xdr:col>
      <xdr:colOff>260236</xdr:colOff>
      <xdr:row>1</xdr:row>
      <xdr:rowOff>82550</xdr:rowOff>
    </xdr:from>
    <xdr:to>
      <xdr:col>6</xdr:col>
      <xdr:colOff>470544</xdr:colOff>
      <xdr:row>5</xdr:row>
      <xdr:rowOff>44449</xdr:rowOff>
    </xdr:to>
    <xdr:pic>
      <xdr:nvPicPr>
        <xdr:cNvPr id="3" name="Pilt 4">
          <a:extLst>
            <a:ext uri="{FF2B5EF4-FFF2-40B4-BE49-F238E27FC236}">
              <a16:creationId xmlns:a16="http://schemas.microsoft.com/office/drawing/2014/main" id="{6F3F1448-D250-14AA-A95D-4570044B1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386" y="266700"/>
          <a:ext cx="2648708" cy="723899"/>
        </a:xfrm>
        <a:prstGeom prst="rect">
          <a:avLst/>
        </a:prstGeom>
      </xdr:spPr>
    </xdr:pic>
    <xdr:clientData/>
  </xdr:twoCellAnchor>
  <xdr:twoCellAnchor editAs="oneCell">
    <xdr:from>
      <xdr:col>0</xdr:col>
      <xdr:colOff>0</xdr:colOff>
      <xdr:row>0</xdr:row>
      <xdr:rowOff>0</xdr:rowOff>
    </xdr:from>
    <xdr:to>
      <xdr:col>2</xdr:col>
      <xdr:colOff>425450</xdr:colOff>
      <xdr:row>6</xdr:row>
      <xdr:rowOff>82803</xdr:rowOff>
    </xdr:to>
    <xdr:pic>
      <xdr:nvPicPr>
        <xdr:cNvPr id="6" name="Pilt 3">
          <a:extLst>
            <a:ext uri="{FF2B5EF4-FFF2-40B4-BE49-F238E27FC236}">
              <a16:creationId xmlns:a16="http://schemas.microsoft.com/office/drawing/2014/main" id="{8167269B-81F0-F77D-E9AA-BAB7DE9245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06500" cy="1273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264487</xdr:colOff>
      <xdr:row>20</xdr:row>
      <xdr:rowOff>163928</xdr:rowOff>
    </xdr:from>
    <xdr:to>
      <xdr:col>27</xdr:col>
      <xdr:colOff>597187</xdr:colOff>
      <xdr:row>26</xdr:row>
      <xdr:rowOff>26288</xdr:rowOff>
    </xdr:to>
    <xdr:graphicFrame macro="">
      <xdr:nvGraphicFramePr>
        <xdr:cNvPr id="12" name="Diagramm 4">
          <a:extLst>
            <a:ext uri="{FF2B5EF4-FFF2-40B4-BE49-F238E27FC236}">
              <a16:creationId xmlns:a16="http://schemas.microsoft.com/office/drawing/2014/main" id="{A7602BE8-8E5B-4ECF-9E99-73FC093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256462</xdr:colOff>
      <xdr:row>25</xdr:row>
      <xdr:rowOff>188031</xdr:rowOff>
    </xdr:from>
    <xdr:to>
      <xdr:col>27</xdr:col>
      <xdr:colOff>589162</xdr:colOff>
      <xdr:row>31</xdr:row>
      <xdr:rowOff>50391</xdr:rowOff>
    </xdr:to>
    <xdr:graphicFrame macro="">
      <xdr:nvGraphicFramePr>
        <xdr:cNvPr id="13" name="Diagramm 5">
          <a:extLst>
            <a:ext uri="{FF2B5EF4-FFF2-40B4-BE49-F238E27FC236}">
              <a16:creationId xmlns:a16="http://schemas.microsoft.com/office/drawing/2014/main" id="{6EEFADA6-53DE-4C8A-BCB8-D632E14EF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254700</xdr:colOff>
      <xdr:row>31</xdr:row>
      <xdr:rowOff>23752</xdr:rowOff>
    </xdr:from>
    <xdr:to>
      <xdr:col>27</xdr:col>
      <xdr:colOff>587400</xdr:colOff>
      <xdr:row>36</xdr:row>
      <xdr:rowOff>76612</xdr:rowOff>
    </xdr:to>
    <xdr:graphicFrame macro="">
      <xdr:nvGraphicFramePr>
        <xdr:cNvPr id="14" name="Diagramm 6">
          <a:extLst>
            <a:ext uri="{FF2B5EF4-FFF2-40B4-BE49-F238E27FC236}">
              <a16:creationId xmlns:a16="http://schemas.microsoft.com/office/drawing/2014/main" id="{FB9660E0-9455-4D3B-AA26-EAD8F7E7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248437</xdr:colOff>
      <xdr:row>36</xdr:row>
      <xdr:rowOff>54205</xdr:rowOff>
    </xdr:from>
    <xdr:to>
      <xdr:col>27</xdr:col>
      <xdr:colOff>581137</xdr:colOff>
      <xdr:row>41</xdr:row>
      <xdr:rowOff>107065</xdr:rowOff>
    </xdr:to>
    <xdr:graphicFrame macro="">
      <xdr:nvGraphicFramePr>
        <xdr:cNvPr id="15" name="Diagramm 7">
          <a:extLst>
            <a:ext uri="{FF2B5EF4-FFF2-40B4-BE49-F238E27FC236}">
              <a16:creationId xmlns:a16="http://schemas.microsoft.com/office/drawing/2014/main" id="{B415B845-24DA-4944-BEDC-24FB3ACF1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272515</xdr:colOff>
      <xdr:row>41</xdr:row>
      <xdr:rowOff>84656</xdr:rowOff>
    </xdr:from>
    <xdr:to>
      <xdr:col>27</xdr:col>
      <xdr:colOff>605215</xdr:colOff>
      <xdr:row>46</xdr:row>
      <xdr:rowOff>137516</xdr:rowOff>
    </xdr:to>
    <xdr:graphicFrame macro="">
      <xdr:nvGraphicFramePr>
        <xdr:cNvPr id="16" name="Diagramm 8">
          <a:extLst>
            <a:ext uri="{FF2B5EF4-FFF2-40B4-BE49-F238E27FC236}">
              <a16:creationId xmlns:a16="http://schemas.microsoft.com/office/drawing/2014/main" id="{365EA2A0-F775-4FEE-960C-36A89CBF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272515</xdr:colOff>
      <xdr:row>15</xdr:row>
      <xdr:rowOff>133474</xdr:rowOff>
    </xdr:from>
    <xdr:to>
      <xdr:col>27</xdr:col>
      <xdr:colOff>605215</xdr:colOff>
      <xdr:row>20</xdr:row>
      <xdr:rowOff>186334</xdr:rowOff>
    </xdr:to>
    <xdr:graphicFrame macro="">
      <xdr:nvGraphicFramePr>
        <xdr:cNvPr id="11" name="Diagramm 2">
          <a:extLst>
            <a:ext uri="{FF2B5EF4-FFF2-40B4-BE49-F238E27FC236}">
              <a16:creationId xmlns:a16="http://schemas.microsoft.com/office/drawing/2014/main" id="{CDF05889-369F-4FCF-A24E-BEA7CF8C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263608</xdr:colOff>
      <xdr:row>10</xdr:row>
      <xdr:rowOff>102648</xdr:rowOff>
    </xdr:from>
    <xdr:to>
      <xdr:col>27</xdr:col>
      <xdr:colOff>596308</xdr:colOff>
      <xdr:row>15</xdr:row>
      <xdr:rowOff>155508</xdr:rowOff>
    </xdr:to>
    <xdr:graphicFrame macro="">
      <xdr:nvGraphicFramePr>
        <xdr:cNvPr id="4" name="Diagramm 9">
          <a:extLst>
            <a:ext uri="{FF2B5EF4-FFF2-40B4-BE49-F238E27FC236}">
              <a16:creationId xmlns:a16="http://schemas.microsoft.com/office/drawing/2014/main" id="{B6F2D842-1E0C-4185-AB7D-3C8D63A5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573195</xdr:colOff>
      <xdr:row>8</xdr:row>
      <xdr:rowOff>83819</xdr:rowOff>
    </xdr:from>
    <xdr:to>
      <xdr:col>28</xdr:col>
      <xdr:colOff>486795</xdr:colOff>
      <xdr:row>12</xdr:row>
      <xdr:rowOff>60869</xdr:rowOff>
    </xdr:to>
    <xdr:graphicFrame macro="">
      <xdr:nvGraphicFramePr>
        <xdr:cNvPr id="3" name="Diagramm 1">
          <a:extLst>
            <a:ext uri="{FF2B5EF4-FFF2-40B4-BE49-F238E27FC236}">
              <a16:creationId xmlns:a16="http://schemas.microsoft.com/office/drawing/2014/main" id="{5D71CD7F-910C-4485-9458-0000A782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573195</xdr:colOff>
      <xdr:row>12</xdr:row>
      <xdr:rowOff>116874</xdr:rowOff>
    </xdr:from>
    <xdr:to>
      <xdr:col>28</xdr:col>
      <xdr:colOff>486795</xdr:colOff>
      <xdr:row>16</xdr:row>
      <xdr:rowOff>74874</xdr:rowOff>
    </xdr:to>
    <xdr:graphicFrame macro="">
      <xdr:nvGraphicFramePr>
        <xdr:cNvPr id="4" name="Diagramm 8">
          <a:extLst>
            <a:ext uri="{FF2B5EF4-FFF2-40B4-BE49-F238E27FC236}">
              <a16:creationId xmlns:a16="http://schemas.microsoft.com/office/drawing/2014/main" id="{052ACD3D-D265-4803-B901-D0CA89D5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573195</xdr:colOff>
      <xdr:row>16</xdr:row>
      <xdr:rowOff>130879</xdr:rowOff>
    </xdr:from>
    <xdr:to>
      <xdr:col>28</xdr:col>
      <xdr:colOff>486795</xdr:colOff>
      <xdr:row>20</xdr:row>
      <xdr:rowOff>50779</xdr:rowOff>
    </xdr:to>
    <xdr:graphicFrame macro="">
      <xdr:nvGraphicFramePr>
        <xdr:cNvPr id="5" name="Diagramm 9">
          <a:extLst>
            <a:ext uri="{FF2B5EF4-FFF2-40B4-BE49-F238E27FC236}">
              <a16:creationId xmlns:a16="http://schemas.microsoft.com/office/drawing/2014/main" id="{EFA50349-939A-4F9C-B751-020D896F6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573195</xdr:colOff>
      <xdr:row>20</xdr:row>
      <xdr:rowOff>106784</xdr:rowOff>
    </xdr:from>
    <xdr:to>
      <xdr:col>28</xdr:col>
      <xdr:colOff>486795</xdr:colOff>
      <xdr:row>24</xdr:row>
      <xdr:rowOff>26684</xdr:rowOff>
    </xdr:to>
    <xdr:graphicFrame macro="">
      <xdr:nvGraphicFramePr>
        <xdr:cNvPr id="6" name="Diagramm 10">
          <a:extLst>
            <a:ext uri="{FF2B5EF4-FFF2-40B4-BE49-F238E27FC236}">
              <a16:creationId xmlns:a16="http://schemas.microsoft.com/office/drawing/2014/main" id="{11409333-DE12-48C7-9646-5102F5B83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573195</xdr:colOff>
      <xdr:row>24</xdr:row>
      <xdr:rowOff>82689</xdr:rowOff>
    </xdr:from>
    <xdr:to>
      <xdr:col>28</xdr:col>
      <xdr:colOff>486795</xdr:colOff>
      <xdr:row>28</xdr:row>
      <xdr:rowOff>2589</xdr:rowOff>
    </xdr:to>
    <xdr:graphicFrame macro="">
      <xdr:nvGraphicFramePr>
        <xdr:cNvPr id="7" name="Diagramm 11">
          <a:extLst>
            <a:ext uri="{FF2B5EF4-FFF2-40B4-BE49-F238E27FC236}">
              <a16:creationId xmlns:a16="http://schemas.microsoft.com/office/drawing/2014/main" id="{681E2C1E-EA61-4E5C-B8C2-1A8EEE4A5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573195</xdr:colOff>
      <xdr:row>28</xdr:row>
      <xdr:rowOff>58594</xdr:rowOff>
    </xdr:from>
    <xdr:to>
      <xdr:col>28</xdr:col>
      <xdr:colOff>486795</xdr:colOff>
      <xdr:row>32</xdr:row>
      <xdr:rowOff>16594</xdr:rowOff>
    </xdr:to>
    <xdr:graphicFrame macro="">
      <xdr:nvGraphicFramePr>
        <xdr:cNvPr id="8" name="Diagramm 12">
          <a:extLst>
            <a:ext uri="{FF2B5EF4-FFF2-40B4-BE49-F238E27FC236}">
              <a16:creationId xmlns:a16="http://schemas.microsoft.com/office/drawing/2014/main" id="{80118485-F7FF-41E9-BB90-6A33CB62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573195</xdr:colOff>
      <xdr:row>32</xdr:row>
      <xdr:rowOff>72601</xdr:rowOff>
    </xdr:from>
    <xdr:to>
      <xdr:col>28</xdr:col>
      <xdr:colOff>486795</xdr:colOff>
      <xdr:row>36</xdr:row>
      <xdr:rowOff>30601</xdr:rowOff>
    </xdr:to>
    <xdr:graphicFrame macro="">
      <xdr:nvGraphicFramePr>
        <xdr:cNvPr id="15" name="Diagramm 13">
          <a:extLst>
            <a:ext uri="{FF2B5EF4-FFF2-40B4-BE49-F238E27FC236}">
              <a16:creationId xmlns:a16="http://schemas.microsoft.com/office/drawing/2014/main" id="{3F483F35-D7A5-4A72-B0E8-56994CE0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14182</xdr:colOff>
      <xdr:row>13</xdr:row>
      <xdr:rowOff>116698</xdr:rowOff>
    </xdr:from>
    <xdr:to>
      <xdr:col>25</xdr:col>
      <xdr:colOff>108757</xdr:colOff>
      <xdr:row>17</xdr:row>
      <xdr:rowOff>112798</xdr:rowOff>
    </xdr:to>
    <xdr:graphicFrame macro="">
      <xdr:nvGraphicFramePr>
        <xdr:cNvPr id="11" name="Diagramm 3">
          <a:extLst>
            <a:ext uri="{FF2B5EF4-FFF2-40B4-BE49-F238E27FC236}">
              <a16:creationId xmlns:a16="http://schemas.microsoft.com/office/drawing/2014/main" id="{6EBFF006-3246-4116-8210-BFF87AC8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14182</xdr:colOff>
      <xdr:row>17</xdr:row>
      <xdr:rowOff>146578</xdr:rowOff>
    </xdr:from>
    <xdr:to>
      <xdr:col>25</xdr:col>
      <xdr:colOff>108757</xdr:colOff>
      <xdr:row>21</xdr:row>
      <xdr:rowOff>142678</xdr:rowOff>
    </xdr:to>
    <xdr:graphicFrame macro="">
      <xdr:nvGraphicFramePr>
        <xdr:cNvPr id="12" name="Diagramm 4">
          <a:extLst>
            <a:ext uri="{FF2B5EF4-FFF2-40B4-BE49-F238E27FC236}">
              <a16:creationId xmlns:a16="http://schemas.microsoft.com/office/drawing/2014/main" id="{948BB65D-2F62-4D06-AAC1-0E68DCBB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14182</xdr:colOff>
      <xdr:row>21</xdr:row>
      <xdr:rowOff>176458</xdr:rowOff>
    </xdr:from>
    <xdr:to>
      <xdr:col>25</xdr:col>
      <xdr:colOff>108757</xdr:colOff>
      <xdr:row>25</xdr:row>
      <xdr:rowOff>172558</xdr:rowOff>
    </xdr:to>
    <xdr:graphicFrame macro="">
      <xdr:nvGraphicFramePr>
        <xdr:cNvPr id="13" name="Diagramm 5">
          <a:extLst>
            <a:ext uri="{FF2B5EF4-FFF2-40B4-BE49-F238E27FC236}">
              <a16:creationId xmlns:a16="http://schemas.microsoft.com/office/drawing/2014/main" id="{39A521B7-4117-480C-94E7-B6602EA48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14182</xdr:colOff>
      <xdr:row>26</xdr:row>
      <xdr:rowOff>25363</xdr:rowOff>
    </xdr:from>
    <xdr:to>
      <xdr:col>25</xdr:col>
      <xdr:colOff>108757</xdr:colOff>
      <xdr:row>30</xdr:row>
      <xdr:rowOff>21463</xdr:rowOff>
    </xdr:to>
    <xdr:graphicFrame macro="">
      <xdr:nvGraphicFramePr>
        <xdr:cNvPr id="14" name="Diagramm 6">
          <a:extLst>
            <a:ext uri="{FF2B5EF4-FFF2-40B4-BE49-F238E27FC236}">
              <a16:creationId xmlns:a16="http://schemas.microsoft.com/office/drawing/2014/main" id="{BD772A44-9A6E-4655-AAF4-2E73E2242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14182</xdr:colOff>
      <xdr:row>30</xdr:row>
      <xdr:rowOff>55244</xdr:rowOff>
    </xdr:from>
    <xdr:to>
      <xdr:col>25</xdr:col>
      <xdr:colOff>108757</xdr:colOff>
      <xdr:row>34</xdr:row>
      <xdr:rowOff>51344</xdr:rowOff>
    </xdr:to>
    <xdr:graphicFrame macro="">
      <xdr:nvGraphicFramePr>
        <xdr:cNvPr id="15" name="Diagramm 7">
          <a:extLst>
            <a:ext uri="{FF2B5EF4-FFF2-40B4-BE49-F238E27FC236}">
              <a16:creationId xmlns:a16="http://schemas.microsoft.com/office/drawing/2014/main" id="{9EDB092B-47DD-484F-A092-F3EAB16E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14182</xdr:colOff>
      <xdr:row>5</xdr:row>
      <xdr:rowOff>56938</xdr:rowOff>
    </xdr:from>
    <xdr:to>
      <xdr:col>25</xdr:col>
      <xdr:colOff>108757</xdr:colOff>
      <xdr:row>9</xdr:row>
      <xdr:rowOff>53038</xdr:rowOff>
    </xdr:to>
    <xdr:graphicFrame macro="">
      <xdr:nvGraphicFramePr>
        <xdr:cNvPr id="2" name="Diagramm 8">
          <a:extLst>
            <a:ext uri="{FF2B5EF4-FFF2-40B4-BE49-F238E27FC236}">
              <a16:creationId xmlns:a16="http://schemas.microsoft.com/office/drawing/2014/main" id="{C75D630C-9334-4F38-8709-C6B9CC26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14182</xdr:colOff>
      <xdr:row>9</xdr:row>
      <xdr:rowOff>86818</xdr:rowOff>
    </xdr:from>
    <xdr:to>
      <xdr:col>25</xdr:col>
      <xdr:colOff>108757</xdr:colOff>
      <xdr:row>13</xdr:row>
      <xdr:rowOff>82918</xdr:rowOff>
    </xdr:to>
    <xdr:graphicFrame macro="">
      <xdr:nvGraphicFramePr>
        <xdr:cNvPr id="3" name="Diagramm 9">
          <a:extLst>
            <a:ext uri="{FF2B5EF4-FFF2-40B4-BE49-F238E27FC236}">
              <a16:creationId xmlns:a16="http://schemas.microsoft.com/office/drawing/2014/main" id="{C466B3B2-FCD0-4375-B736-68F2C897E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85725</xdr:colOff>
      <xdr:row>42</xdr:row>
      <xdr:rowOff>171449</xdr:rowOff>
    </xdr:from>
    <xdr:to>
      <xdr:col>25</xdr:col>
      <xdr:colOff>390525</xdr:colOff>
      <xdr:row>50</xdr:row>
      <xdr:rowOff>106499</xdr:rowOff>
    </xdr:to>
    <xdr:graphicFrame macro="">
      <xdr:nvGraphicFramePr>
        <xdr:cNvPr id="6" name="Diagramm 5">
          <a:extLst>
            <a:ext uri="{FF2B5EF4-FFF2-40B4-BE49-F238E27FC236}">
              <a16:creationId xmlns:a16="http://schemas.microsoft.com/office/drawing/2014/main" id="{9EDECE69-67A7-B98C-6956-D2EB68B9B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xdr:colOff>
      <xdr:row>5</xdr:row>
      <xdr:rowOff>161925</xdr:rowOff>
    </xdr:from>
    <xdr:to>
      <xdr:col>25</xdr:col>
      <xdr:colOff>390525</xdr:colOff>
      <xdr:row>13</xdr:row>
      <xdr:rowOff>87450</xdr:rowOff>
    </xdr:to>
    <xdr:graphicFrame macro="">
      <xdr:nvGraphicFramePr>
        <xdr:cNvPr id="7" name="Diagramm 6">
          <a:extLst>
            <a:ext uri="{FF2B5EF4-FFF2-40B4-BE49-F238E27FC236}">
              <a16:creationId xmlns:a16="http://schemas.microsoft.com/office/drawing/2014/main" id="{699EB422-A222-C687-C6E2-EDAF924CD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563880</xdr:colOff>
      <xdr:row>5</xdr:row>
      <xdr:rowOff>161925</xdr:rowOff>
    </xdr:from>
    <xdr:to>
      <xdr:col>17</xdr:col>
      <xdr:colOff>259080</xdr:colOff>
      <xdr:row>13</xdr:row>
      <xdr:rowOff>87450</xdr:rowOff>
    </xdr:to>
    <xdr:graphicFrame macro="">
      <xdr:nvGraphicFramePr>
        <xdr:cNvPr id="4" name="Diagramm 3">
          <a:extLst>
            <a:ext uri="{FF2B5EF4-FFF2-40B4-BE49-F238E27FC236}">
              <a16:creationId xmlns:a16="http://schemas.microsoft.com/office/drawing/2014/main" id="{E8803764-B21D-32DE-708D-14298A4D0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15</xdr:row>
      <xdr:rowOff>57151</xdr:rowOff>
    </xdr:from>
    <xdr:to>
      <xdr:col>17</xdr:col>
      <xdr:colOff>259080</xdr:colOff>
      <xdr:row>22</xdr:row>
      <xdr:rowOff>173176</xdr:rowOff>
    </xdr:to>
    <xdr:graphicFrame macro="">
      <xdr:nvGraphicFramePr>
        <xdr:cNvPr id="5" name="Diagramm 4">
          <a:extLst>
            <a:ext uri="{FF2B5EF4-FFF2-40B4-BE49-F238E27FC236}">
              <a16:creationId xmlns:a16="http://schemas.microsoft.com/office/drawing/2014/main" id="{5ED24E01-00A7-F5B1-48BE-34AED3C1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85725</xdr:colOff>
      <xdr:row>15</xdr:row>
      <xdr:rowOff>57151</xdr:rowOff>
    </xdr:from>
    <xdr:to>
      <xdr:col>25</xdr:col>
      <xdr:colOff>390525</xdr:colOff>
      <xdr:row>22</xdr:row>
      <xdr:rowOff>173176</xdr:rowOff>
    </xdr:to>
    <xdr:graphicFrame macro="">
      <xdr:nvGraphicFramePr>
        <xdr:cNvPr id="8" name="Diagramm 7">
          <a:extLst>
            <a:ext uri="{FF2B5EF4-FFF2-40B4-BE49-F238E27FC236}">
              <a16:creationId xmlns:a16="http://schemas.microsoft.com/office/drawing/2014/main" id="{9BDF8593-7FF9-F27B-5DC3-6AFF08A56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563880</xdr:colOff>
      <xdr:row>23</xdr:row>
      <xdr:rowOff>180974</xdr:rowOff>
    </xdr:from>
    <xdr:to>
      <xdr:col>17</xdr:col>
      <xdr:colOff>259080</xdr:colOff>
      <xdr:row>31</xdr:row>
      <xdr:rowOff>135074</xdr:rowOff>
    </xdr:to>
    <xdr:graphicFrame macro="">
      <xdr:nvGraphicFramePr>
        <xdr:cNvPr id="9" name="Diagramm 8">
          <a:extLst>
            <a:ext uri="{FF2B5EF4-FFF2-40B4-BE49-F238E27FC236}">
              <a16:creationId xmlns:a16="http://schemas.microsoft.com/office/drawing/2014/main" id="{9B7D675A-C184-90D3-52B9-06DC50F10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85725</xdr:colOff>
      <xdr:row>23</xdr:row>
      <xdr:rowOff>180974</xdr:rowOff>
    </xdr:from>
    <xdr:to>
      <xdr:col>25</xdr:col>
      <xdr:colOff>390525</xdr:colOff>
      <xdr:row>31</xdr:row>
      <xdr:rowOff>135074</xdr:rowOff>
    </xdr:to>
    <xdr:graphicFrame macro="">
      <xdr:nvGraphicFramePr>
        <xdr:cNvPr id="10" name="Diagramm 9">
          <a:extLst>
            <a:ext uri="{FF2B5EF4-FFF2-40B4-BE49-F238E27FC236}">
              <a16:creationId xmlns:a16="http://schemas.microsoft.com/office/drawing/2014/main" id="{A0D25EF0-DEB3-390C-1E2E-C1FA64A81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563880</xdr:colOff>
      <xdr:row>33</xdr:row>
      <xdr:rowOff>9525</xdr:rowOff>
    </xdr:from>
    <xdr:to>
      <xdr:col>17</xdr:col>
      <xdr:colOff>259080</xdr:colOff>
      <xdr:row>40</xdr:row>
      <xdr:rowOff>135075</xdr:rowOff>
    </xdr:to>
    <xdr:graphicFrame macro="">
      <xdr:nvGraphicFramePr>
        <xdr:cNvPr id="11" name="Diagramm 10">
          <a:extLst>
            <a:ext uri="{FF2B5EF4-FFF2-40B4-BE49-F238E27FC236}">
              <a16:creationId xmlns:a16="http://schemas.microsoft.com/office/drawing/2014/main" id="{BA2B8232-05A6-9CB1-DFDE-14C70EF3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85725</xdr:colOff>
      <xdr:row>32</xdr:row>
      <xdr:rowOff>171449</xdr:rowOff>
    </xdr:from>
    <xdr:to>
      <xdr:col>25</xdr:col>
      <xdr:colOff>390525</xdr:colOff>
      <xdr:row>40</xdr:row>
      <xdr:rowOff>106499</xdr:rowOff>
    </xdr:to>
    <xdr:graphicFrame macro="">
      <xdr:nvGraphicFramePr>
        <xdr:cNvPr id="12" name="Diagramm 11">
          <a:extLst>
            <a:ext uri="{FF2B5EF4-FFF2-40B4-BE49-F238E27FC236}">
              <a16:creationId xmlns:a16="http://schemas.microsoft.com/office/drawing/2014/main" id="{9ABADE95-4DDF-CBD4-C584-7DE174EAF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563880</xdr:colOff>
      <xdr:row>42</xdr:row>
      <xdr:rowOff>171450</xdr:rowOff>
    </xdr:from>
    <xdr:to>
      <xdr:col>17</xdr:col>
      <xdr:colOff>295080</xdr:colOff>
      <xdr:row>57</xdr:row>
      <xdr:rowOff>76200</xdr:rowOff>
    </xdr:to>
    <xdr:graphicFrame macro="">
      <xdr:nvGraphicFramePr>
        <xdr:cNvPr id="2" name="Diagramm 12">
          <a:extLst>
            <a:ext uri="{FF2B5EF4-FFF2-40B4-BE49-F238E27FC236}">
              <a16:creationId xmlns:a16="http://schemas.microsoft.com/office/drawing/2014/main" id="{07296B67-3A60-4CE6-2BC7-77AC7DE80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395393</xdr:colOff>
      <xdr:row>2</xdr:row>
      <xdr:rowOff>43814</xdr:rowOff>
    </xdr:from>
    <xdr:to>
      <xdr:col>19</xdr:col>
      <xdr:colOff>8467</xdr:colOff>
      <xdr:row>13</xdr:row>
      <xdr:rowOff>66252</xdr:rowOff>
    </xdr:to>
    <xdr:graphicFrame macro="">
      <xdr:nvGraphicFramePr>
        <xdr:cNvPr id="3" name="Diagramm 1">
          <a:extLst>
            <a:ext uri="{FF2B5EF4-FFF2-40B4-BE49-F238E27FC236}">
              <a16:creationId xmlns:a16="http://schemas.microsoft.com/office/drawing/2014/main" id="{2DA0011F-C3E4-4D11-A8CD-D4F6E5C3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268605</xdr:colOff>
      <xdr:row>17</xdr:row>
      <xdr:rowOff>38947</xdr:rowOff>
    </xdr:from>
    <xdr:to>
      <xdr:col>21</xdr:col>
      <xdr:colOff>193673</xdr:colOff>
      <xdr:row>42</xdr:row>
      <xdr:rowOff>70484</xdr:rowOff>
    </xdr:to>
    <mc:AlternateContent xmlns:mc="http://schemas.openxmlformats.org/markup-compatibility/2006">
      <mc:Choice xmlns:cx1="http://schemas.microsoft.com/office/drawing/2015/9/8/chartex" Requires="cx1">
        <xdr:graphicFrame macro="">
          <xdr:nvGraphicFramePr>
            <xdr:cNvPr id="27" name="Diagramm 2">
              <a:extLst>
                <a:ext uri="{FF2B5EF4-FFF2-40B4-BE49-F238E27FC236}">
                  <a16:creationId xmlns:a16="http://schemas.microsoft.com/office/drawing/2014/main" id="{3081293A-BB6B-48CD-A466-1E54E3444D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222105" y="4125172"/>
              <a:ext cx="6649718" cy="5546512"/>
            </a:xfrm>
            <a:prstGeom prst="rect">
              <a:avLst/>
            </a:prstGeom>
            <a:solidFill>
              <a:prstClr val="white"/>
            </a:solidFill>
            <a:ln w="1">
              <a:solidFill>
                <a:prstClr val="green"/>
              </a:solidFill>
            </a:ln>
          </xdr:spPr>
          <xdr:txBody>
            <a:bodyPr vertOverflow="clip" horzOverflow="clip"/>
            <a:lstStyle/>
            <a:p>
              <a:r>
                <a:rPr lang="et-EE" sz="1100"/>
                <a:t>See diagramm pole teie Exceli versioonis saadaval.
Kui redigeerite seda kujundit või salvestate selle töövihiku mõnes muus failivormingus, rikute diagrammi jäädavalt.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vir.ee/kliima/toetavad-materjalid/organisatsioonide-khg-jalajal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klab.ee/f-gaasid/f-gaaside-co%e2%82%82-ekvivalendi-kalkulaato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hyperlink" Target="https://kliimaministeerium.ee/organisatsioonide-khg-jalajal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kliimaministeerium.ee/organisatsioonide-khg-jalajalg" TargetMode="External"/><Relationship Id="rId1" Type="http://schemas.openxmlformats.org/officeDocument/2006/relationships/hyperlink" Target="https://klab.ee/f-gaasid/juhendid/jahutus-ja-kliimaseadmete-ning-soojuspumpade-kaitlejale/oluline-teada-paiksed-jahutusseadm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1176-925E-4EC0-AA12-08EC2607545B}">
  <sheetPr>
    <tabColor rgb="FFE2EFDA"/>
    <pageSetUpPr fitToPage="1"/>
  </sheetPr>
  <dimension ref="A6:W16"/>
  <sheetViews>
    <sheetView showGridLines="0" zoomScaleNormal="100" workbookViewId="0">
      <selection activeCell="R15" sqref="R15"/>
    </sheetView>
  </sheetViews>
  <sheetFormatPr defaultRowHeight="15" x14ac:dyDescent="0.25"/>
  <cols>
    <col min="1" max="1" width="2.5703125" customWidth="1"/>
    <col min="2" max="3" width="9.42578125" customWidth="1"/>
    <col min="4" max="10" width="9.42578125" style="3"/>
  </cols>
  <sheetData>
    <row r="6" spans="1:23" ht="18.75" x14ac:dyDescent="0.3">
      <c r="B6" s="25"/>
    </row>
    <row r="7" spans="1:23" ht="23.25" x14ac:dyDescent="0.35">
      <c r="B7" s="120" t="s">
        <v>0</v>
      </c>
    </row>
    <row r="8" spans="1:23" x14ac:dyDescent="0.25">
      <c r="B8" s="22"/>
    </row>
    <row r="9" spans="1:23" x14ac:dyDescent="0.25">
      <c r="B9" s="561" t="s">
        <v>1</v>
      </c>
      <c r="C9" s="562"/>
      <c r="D9" s="562"/>
      <c r="E9" s="562"/>
      <c r="F9" s="562"/>
      <c r="G9" s="562"/>
      <c r="H9" s="562"/>
      <c r="I9" s="562"/>
      <c r="J9" s="562"/>
      <c r="K9" s="562"/>
      <c r="L9" s="562"/>
      <c r="M9" s="562"/>
      <c r="N9" s="142"/>
      <c r="O9" s="142"/>
      <c r="P9" s="142"/>
      <c r="Q9" s="142"/>
      <c r="R9" s="142"/>
      <c r="S9" s="142"/>
      <c r="T9" s="142"/>
      <c r="U9" s="142"/>
      <c r="V9" s="142"/>
      <c r="W9" s="142"/>
    </row>
    <row r="10" spans="1:23" ht="125.25" customHeight="1" x14ac:dyDescent="0.25">
      <c r="A10" s="5"/>
      <c r="B10" s="563" t="s">
        <v>2</v>
      </c>
      <c r="C10" s="564"/>
      <c r="D10" s="564"/>
      <c r="E10" s="564"/>
      <c r="F10" s="564"/>
      <c r="G10" s="564"/>
      <c r="H10" s="564"/>
      <c r="I10" s="564"/>
      <c r="J10" s="564"/>
      <c r="K10" s="564"/>
      <c r="L10" s="564"/>
      <c r="M10" s="565"/>
    </row>
    <row r="12" spans="1:23" x14ac:dyDescent="0.25">
      <c r="B12" s="561" t="s">
        <v>3</v>
      </c>
      <c r="C12" s="562"/>
      <c r="D12" s="562"/>
      <c r="E12" s="562"/>
      <c r="F12" s="562"/>
      <c r="G12" s="562"/>
      <c r="H12" s="562"/>
      <c r="I12" s="562"/>
      <c r="J12" s="562"/>
      <c r="K12" s="562"/>
      <c r="L12" s="562"/>
      <c r="M12" s="562"/>
    </row>
    <row r="13" spans="1:23" ht="44.1" customHeight="1" x14ac:dyDescent="0.25">
      <c r="B13" s="563" t="s">
        <v>4</v>
      </c>
      <c r="C13" s="564"/>
      <c r="D13" s="564"/>
      <c r="E13" s="564"/>
      <c r="F13" s="564"/>
      <c r="G13" s="564"/>
      <c r="H13" s="564"/>
      <c r="I13" s="564"/>
      <c r="J13" s="564"/>
      <c r="K13" s="564"/>
      <c r="L13" s="564"/>
      <c r="M13" s="565"/>
    </row>
    <row r="14" spans="1:23" ht="320.25" customHeight="1" x14ac:dyDescent="0.25">
      <c r="B14" s="566" t="s">
        <v>5</v>
      </c>
      <c r="C14" s="567"/>
      <c r="D14" s="567"/>
      <c r="E14" s="567"/>
      <c r="F14" s="567"/>
      <c r="G14" s="567"/>
      <c r="H14" s="567"/>
      <c r="I14" s="567"/>
      <c r="J14" s="567"/>
      <c r="K14" s="567"/>
      <c r="L14" s="567"/>
      <c r="M14" s="568"/>
    </row>
    <row r="15" spans="1:23" ht="348" customHeight="1" x14ac:dyDescent="0.25">
      <c r="B15" s="558" t="s">
        <v>6</v>
      </c>
      <c r="C15" s="559"/>
      <c r="D15" s="559"/>
      <c r="E15" s="559"/>
      <c r="F15" s="559"/>
      <c r="G15" s="559"/>
      <c r="H15" s="559"/>
      <c r="I15" s="559"/>
      <c r="J15" s="559"/>
      <c r="K15" s="559"/>
      <c r="L15" s="559"/>
      <c r="M15" s="560"/>
      <c r="N15" s="262"/>
    </row>
    <row r="16" spans="1:23" ht="15" customHeight="1" x14ac:dyDescent="0.25">
      <c r="B16" s="212"/>
      <c r="C16" s="212"/>
      <c r="D16" s="212"/>
      <c r="E16" s="212"/>
      <c r="F16" s="212"/>
      <c r="G16" s="212"/>
      <c r="H16" s="212"/>
      <c r="I16" s="212"/>
      <c r="J16" s="212"/>
    </row>
  </sheetData>
  <mergeCells count="6">
    <mergeCell ref="B15:M15"/>
    <mergeCell ref="B9:M9"/>
    <mergeCell ref="B10:M10"/>
    <mergeCell ref="B12:M12"/>
    <mergeCell ref="B13:M13"/>
    <mergeCell ref="B14:M14"/>
  </mergeCells>
  <hyperlinks>
    <hyperlink ref="B15:K15" r:id="rId1" display="https://envir.ee/kliima/toetavad-materjalid/organisatsioonide-khg-jalajalg" xr:uid="{5E628888-82CB-403B-9BFC-1D04CF350D4F}"/>
  </hyperlinks>
  <pageMargins left="0.70866141732283472" right="0.70866141732283472" top="0.74803149606299213" bottom="0.74803149606299213" header="0.31496062992125984" footer="0.31496062992125984"/>
  <pageSetup paperSize="9" scale="77" fitToHeight="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2EFDA"/>
    <pageSetUpPr fitToPage="1"/>
  </sheetPr>
  <dimension ref="A1:I17"/>
  <sheetViews>
    <sheetView showGridLines="0" tabSelected="1" zoomScaleNormal="100" workbookViewId="0">
      <pane xSplit="1" ySplit="1" topLeftCell="B2" activePane="bottomRight" state="frozen"/>
      <selection pane="topRight" activeCell="B1" sqref="B1"/>
      <selection pane="bottomLeft" activeCell="A3" sqref="A3"/>
      <selection pane="bottomRight" activeCell="B13" sqref="B13"/>
    </sheetView>
  </sheetViews>
  <sheetFormatPr defaultRowHeight="15" x14ac:dyDescent="0.25"/>
  <cols>
    <col min="1" max="1" width="2.5703125" customWidth="1"/>
    <col min="2" max="2" width="58.5703125" customWidth="1"/>
    <col min="3" max="3" width="9.42578125" style="3" bestFit="1" customWidth="1"/>
    <col min="4" max="9" width="9.42578125" style="3"/>
  </cols>
  <sheetData>
    <row r="1" spans="1:9" ht="18.75" x14ac:dyDescent="0.3">
      <c r="B1" s="32" t="s">
        <v>7</v>
      </c>
    </row>
    <row r="2" spans="1:9" ht="18.75" x14ac:dyDescent="0.3">
      <c r="B2" s="32"/>
    </row>
    <row r="3" spans="1:9" ht="208.9" customHeight="1" x14ac:dyDescent="0.25">
      <c r="B3" s="569" t="s">
        <v>503</v>
      </c>
      <c r="C3" s="570"/>
      <c r="D3" s="570"/>
      <c r="E3" s="570"/>
      <c r="F3" s="570"/>
      <c r="G3" s="570"/>
      <c r="H3" s="570"/>
      <c r="I3" s="571"/>
    </row>
    <row r="5" spans="1:9" x14ac:dyDescent="0.25">
      <c r="A5" s="13"/>
      <c r="B5" s="144" t="s">
        <v>8</v>
      </c>
      <c r="C5" s="41"/>
      <c r="D5" s="41"/>
      <c r="E5" s="41"/>
      <c r="F5" s="41"/>
      <c r="G5" s="41"/>
      <c r="H5" s="41"/>
    </row>
    <row r="6" spans="1:9" ht="14.85" customHeight="1" x14ac:dyDescent="0.25">
      <c r="A6" s="14"/>
      <c r="B6" s="161" t="s">
        <v>9</v>
      </c>
      <c r="C6" s="41"/>
      <c r="D6" s="41"/>
      <c r="E6" s="41"/>
      <c r="F6" s="41"/>
      <c r="G6" s="41"/>
      <c r="H6" s="41"/>
    </row>
    <row r="7" spans="1:9" ht="14.85" customHeight="1" x14ac:dyDescent="0.25">
      <c r="A7" s="14"/>
      <c r="B7" s="145" t="s">
        <v>10</v>
      </c>
      <c r="C7" s="41"/>
      <c r="D7" s="41"/>
      <c r="E7" s="41"/>
      <c r="F7" s="41"/>
      <c r="G7" s="41"/>
      <c r="H7" s="41"/>
    </row>
    <row r="8" spans="1:9" x14ac:dyDescent="0.25">
      <c r="A8" s="5"/>
    </row>
    <row r="9" spans="1:9" x14ac:dyDescent="0.25">
      <c r="A9" s="5"/>
    </row>
    <row r="10" spans="1:9" x14ac:dyDescent="0.25">
      <c r="A10" s="5"/>
      <c r="B10" s="572" t="s">
        <v>11</v>
      </c>
      <c r="C10" s="574">
        <v>2022</v>
      </c>
      <c r="D10" s="574">
        <v>2023</v>
      </c>
      <c r="E10" s="574">
        <v>2024</v>
      </c>
      <c r="F10" s="576">
        <v>2025</v>
      </c>
      <c r="G10" s="574">
        <v>2026</v>
      </c>
      <c r="H10" s="574">
        <v>2027</v>
      </c>
      <c r="I10" s="574">
        <v>2028</v>
      </c>
    </row>
    <row r="11" spans="1:9" x14ac:dyDescent="0.25">
      <c r="A11" s="9"/>
      <c r="B11" s="573"/>
      <c r="C11" s="575"/>
      <c r="D11" s="575"/>
      <c r="E11" s="575"/>
      <c r="F11" s="577"/>
      <c r="G11" s="575"/>
      <c r="H11" s="575"/>
      <c r="I11" s="575"/>
    </row>
    <row r="12" spans="1:9" ht="27" customHeight="1" x14ac:dyDescent="0.25">
      <c r="A12" s="9"/>
      <c r="B12" s="417" t="s">
        <v>12</v>
      </c>
      <c r="C12" s="462"/>
      <c r="D12" s="462"/>
      <c r="E12" s="462"/>
      <c r="F12" s="462"/>
      <c r="G12" s="462"/>
      <c r="H12" s="462"/>
      <c r="I12" s="462"/>
    </row>
    <row r="13" spans="1:9" x14ac:dyDescent="0.25">
      <c r="A13" s="9"/>
      <c r="B13" s="141" t="s">
        <v>13</v>
      </c>
      <c r="C13" s="371"/>
      <c r="D13" s="371"/>
      <c r="E13" s="371"/>
      <c r="F13" s="371"/>
      <c r="G13" s="371"/>
      <c r="H13" s="371"/>
      <c r="I13" s="371"/>
    </row>
    <row r="14" spans="1:9" x14ac:dyDescent="0.25">
      <c r="A14" s="9"/>
      <c r="B14" s="134" t="s">
        <v>14</v>
      </c>
      <c r="C14" s="372">
        <f>a_2022-b_2022</f>
        <v>0</v>
      </c>
      <c r="D14" s="372">
        <f>a_2023-b_2023</f>
        <v>0</v>
      </c>
      <c r="E14" s="372">
        <f>a_2024-b_2024</f>
        <v>0</v>
      </c>
      <c r="F14" s="515">
        <f>a_2025-b_2025</f>
        <v>0</v>
      </c>
      <c r="G14" s="372">
        <f>a_2026-b_2026</f>
        <v>0</v>
      </c>
      <c r="H14" s="372">
        <f>a_2027-b_2027</f>
        <v>0</v>
      </c>
      <c r="I14" s="372">
        <f>a_2028-b_2028</f>
        <v>0</v>
      </c>
    </row>
    <row r="15" spans="1:9" x14ac:dyDescent="0.25">
      <c r="A15" s="9"/>
      <c r="B15" s="134" t="s">
        <v>15</v>
      </c>
      <c r="C15" s="463" t="e">
        <f>(a_2022-b_2022)/a_2022</f>
        <v>#DIV/0!</v>
      </c>
      <c r="D15" s="463" t="e">
        <f>(a_2023-b_2023)/a_2023</f>
        <v>#DIV/0!</v>
      </c>
      <c r="E15" s="463" t="e">
        <f>(a_2024-b_2024)/a_2024</f>
        <v>#DIV/0!</v>
      </c>
      <c r="F15" s="516" t="e">
        <f>(a_2025-b_2025)/a_2025</f>
        <v>#DIV/0!</v>
      </c>
      <c r="G15" s="463" t="e">
        <f>(a_2026-b_2026)/a_2026</f>
        <v>#DIV/0!</v>
      </c>
      <c r="H15" s="463" t="e">
        <f>(a_2027-b_2027)/a_2027</f>
        <v>#DIV/0!</v>
      </c>
      <c r="I15" s="463" t="e">
        <f>(a_2028-b_2028)/a_2028</f>
        <v>#DIV/0!</v>
      </c>
    </row>
    <row r="16" spans="1:9" ht="15.75" x14ac:dyDescent="0.25">
      <c r="A16" s="10"/>
      <c r="B16" s="123" t="s">
        <v>16</v>
      </c>
      <c r="C16" s="371"/>
      <c r="D16" s="371"/>
      <c r="E16" s="371"/>
      <c r="F16" s="514"/>
      <c r="G16" s="371"/>
      <c r="H16" s="371"/>
      <c r="I16" s="371"/>
    </row>
    <row r="17" spans="2:3" x14ac:dyDescent="0.25">
      <c r="B17" s="4"/>
      <c r="C17" s="143"/>
    </row>
  </sheetData>
  <mergeCells count="9">
    <mergeCell ref="B3:I3"/>
    <mergeCell ref="B10:B11"/>
    <mergeCell ref="C10:C11"/>
    <mergeCell ref="I10:I11"/>
    <mergeCell ref="D10:D11"/>
    <mergeCell ref="E10:E11"/>
    <mergeCell ref="F10:F11"/>
    <mergeCell ref="G10:G11"/>
    <mergeCell ref="H10:H11"/>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T46"/>
  <sheetViews>
    <sheetView showGridLines="0" zoomScaleNormal="100" workbookViewId="0">
      <pane xSplit="1" ySplit="1" topLeftCell="B3" activePane="bottomRight" state="frozen"/>
      <selection pane="topRight" activeCell="B1" sqref="B1"/>
      <selection pane="bottomLeft" activeCell="A3" sqref="A3"/>
      <selection pane="bottomRight" activeCell="D13" sqref="D13"/>
    </sheetView>
  </sheetViews>
  <sheetFormatPr defaultColWidth="9.42578125" defaultRowHeight="15" x14ac:dyDescent="0.25"/>
  <cols>
    <col min="1" max="1" width="2.5703125" style="19" customWidth="1"/>
    <col min="2" max="2" width="7.5703125" style="19" customWidth="1"/>
    <col min="3" max="3" width="41.5703125" style="20" bestFit="1" customWidth="1"/>
    <col min="4" max="15" width="10.5703125" style="20" customWidth="1"/>
    <col min="16" max="16" width="15.5703125" style="56" customWidth="1"/>
    <col min="17" max="18" width="15.5703125" customWidth="1"/>
    <col min="19" max="19" width="9.42578125" style="19"/>
    <col min="20" max="20" width="10.42578125" style="19" bestFit="1" customWidth="1"/>
    <col min="21" max="16384" width="9.42578125" style="19"/>
  </cols>
  <sheetData>
    <row r="1" spans="2:20" ht="18.75" x14ac:dyDescent="0.3">
      <c r="B1" s="28" t="s">
        <v>17</v>
      </c>
      <c r="D1" s="19"/>
      <c r="E1" s="19"/>
    </row>
    <row r="2" spans="2:20" x14ac:dyDescent="0.25">
      <c r="D2" s="19"/>
      <c r="E2" s="19"/>
    </row>
    <row r="3" spans="2:20" ht="135.75" customHeight="1" x14ac:dyDescent="0.25">
      <c r="B3" s="569" t="s">
        <v>18</v>
      </c>
      <c r="C3" s="579"/>
      <c r="D3" s="579"/>
      <c r="E3" s="579"/>
      <c r="F3" s="579"/>
      <c r="G3" s="579"/>
      <c r="H3" s="579"/>
      <c r="I3" s="579"/>
      <c r="J3" s="579"/>
      <c r="K3" s="579"/>
      <c r="L3" s="579"/>
      <c r="M3" s="579"/>
      <c r="N3" s="579"/>
      <c r="O3" s="579"/>
      <c r="P3" s="579"/>
      <c r="Q3" s="579"/>
      <c r="R3" s="580"/>
    </row>
    <row r="4" spans="2:20" ht="15.75" x14ac:dyDescent="0.25">
      <c r="B4" s="34"/>
      <c r="C4" s="45"/>
      <c r="D4" s="34"/>
      <c r="E4" s="34"/>
      <c r="F4" s="34"/>
      <c r="G4" s="34"/>
      <c r="H4" s="34"/>
    </row>
    <row r="5" spans="2:20" x14ac:dyDescent="0.25">
      <c r="B5" s="589" t="s">
        <v>8</v>
      </c>
      <c r="C5" s="589"/>
      <c r="D5" s="19"/>
      <c r="E5" s="19"/>
      <c r="O5" s="51"/>
      <c r="P5" s="20"/>
    </row>
    <row r="6" spans="2:20" ht="14.85" customHeight="1" x14ac:dyDescent="0.25">
      <c r="C6" s="162" t="s">
        <v>9</v>
      </c>
      <c r="D6" s="19"/>
      <c r="E6" s="19"/>
      <c r="O6" s="51"/>
      <c r="P6" s="52"/>
    </row>
    <row r="7" spans="2:20" ht="14.85" customHeight="1" x14ac:dyDescent="0.25">
      <c r="C7" s="163" t="s">
        <v>10</v>
      </c>
      <c r="D7" s="19"/>
      <c r="E7" s="19"/>
      <c r="O7" s="51"/>
      <c r="P7" s="52"/>
    </row>
    <row r="8" spans="2:20" ht="14.85" customHeight="1" thickBot="1" x14ac:dyDescent="0.3">
      <c r="C8" s="204" t="s">
        <v>19</v>
      </c>
      <c r="D8" s="19"/>
      <c r="E8" s="19"/>
      <c r="O8" s="51"/>
      <c r="P8" s="52"/>
    </row>
    <row r="9" spans="2:20" ht="15.75" thickBot="1" x14ac:dyDescent="0.3">
      <c r="E9" s="21"/>
      <c r="Q9" s="587" t="s">
        <v>20</v>
      </c>
      <c r="R9" s="588"/>
    </row>
    <row r="10" spans="2:20" s="21" customFormat="1" ht="19.5" thickBot="1" x14ac:dyDescent="0.35">
      <c r="B10" s="592" t="s">
        <v>21</v>
      </c>
      <c r="C10" s="583" t="s">
        <v>22</v>
      </c>
      <c r="D10" s="581" t="s">
        <v>23</v>
      </c>
      <c r="E10" s="578" t="s">
        <v>24</v>
      </c>
      <c r="F10" s="578" t="s">
        <v>25</v>
      </c>
      <c r="G10" s="578" t="s">
        <v>26</v>
      </c>
      <c r="H10" s="578" t="s">
        <v>27</v>
      </c>
      <c r="I10" s="578" t="s">
        <v>28</v>
      </c>
      <c r="J10" s="578" t="s">
        <v>29</v>
      </c>
      <c r="K10" s="578" t="s">
        <v>30</v>
      </c>
      <c r="L10" s="578" t="s">
        <v>31</v>
      </c>
      <c r="M10" s="578" t="s">
        <v>32</v>
      </c>
      <c r="N10" s="578" t="s">
        <v>33</v>
      </c>
      <c r="O10" s="585" t="s">
        <v>34</v>
      </c>
      <c r="P10" s="592" t="s">
        <v>35</v>
      </c>
      <c r="Q10" s="590" t="s">
        <v>36</v>
      </c>
      <c r="R10" s="591"/>
      <c r="T10" s="28"/>
    </row>
    <row r="11" spans="2:20" ht="15.75" thickBot="1" x14ac:dyDescent="0.3">
      <c r="B11" s="593"/>
      <c r="C11" s="584"/>
      <c r="D11" s="582"/>
      <c r="E11" s="576"/>
      <c r="F11" s="576"/>
      <c r="G11" s="576"/>
      <c r="H11" s="576"/>
      <c r="I11" s="576"/>
      <c r="J11" s="576"/>
      <c r="K11" s="576"/>
      <c r="L11" s="576"/>
      <c r="M11" s="576"/>
      <c r="N11" s="576"/>
      <c r="O11" s="586"/>
      <c r="P11" s="594"/>
      <c r="Q11" s="168" t="s">
        <v>37</v>
      </c>
      <c r="R11" s="169" t="s">
        <v>38</v>
      </c>
    </row>
    <row r="12" spans="2:20" x14ac:dyDescent="0.25">
      <c r="B12" s="50">
        <f>ÜLDANDMED!C10</f>
        <v>2022</v>
      </c>
      <c r="C12" s="382" t="s">
        <v>39</v>
      </c>
      <c r="D12" s="182"/>
      <c r="E12" s="182"/>
      <c r="F12" s="182"/>
      <c r="G12" s="182"/>
      <c r="H12" s="182"/>
      <c r="I12" s="182"/>
      <c r="J12" s="182"/>
      <c r="K12" s="182"/>
      <c r="L12" s="182"/>
      <c r="M12" s="182"/>
      <c r="N12" s="182"/>
      <c r="O12" s="182"/>
      <c r="P12" s="181">
        <f t="shared" ref="P12:P41" si="0">SUM(D12:O12)</f>
        <v>0</v>
      </c>
      <c r="Q12" s="170"/>
      <c r="R12" s="171"/>
    </row>
    <row r="13" spans="2:20" x14ac:dyDescent="0.25">
      <c r="B13" s="386"/>
      <c r="C13" s="47" t="s">
        <v>40</v>
      </c>
      <c r="D13" s="364"/>
      <c r="E13" s="185"/>
      <c r="F13" s="185"/>
      <c r="G13" s="185"/>
      <c r="H13" s="365"/>
      <c r="I13" s="365"/>
      <c r="J13" s="185"/>
      <c r="K13" s="185"/>
      <c r="L13" s="185"/>
      <c r="M13" s="185"/>
      <c r="N13" s="185"/>
      <c r="O13" s="366"/>
      <c r="P13" s="68" t="e">
        <f>AVERAGE(D13:O13)</f>
        <v>#DIV/0!</v>
      </c>
      <c r="Q13" s="172"/>
      <c r="R13" s="173"/>
    </row>
    <row r="14" spans="2:20" x14ac:dyDescent="0.25">
      <c r="B14" s="386"/>
      <c r="C14" s="46" t="s">
        <v>41</v>
      </c>
      <c r="D14" s="186">
        <f>(kodukontor_elekter+kodukontor_valgustus)*160*ELEKTER!D13/1000</f>
        <v>0</v>
      </c>
      <c r="E14" s="184">
        <f>(kodukontor_elekter+kodukontor_valgustus)*160*ELEKTER!E13/1000</f>
        <v>0</v>
      </c>
      <c r="F14" s="184">
        <f>(kodukontor_elekter+kodukontor_valgustus)*160*ELEKTER!F13/1000</f>
        <v>0</v>
      </c>
      <c r="G14" s="184">
        <f>(kodukontor_elekter+kodukontor_valgustus)*160*ELEKTER!G13/1000</f>
        <v>0</v>
      </c>
      <c r="H14" s="184">
        <f>(kodukontor_elekter+kodukontor_valgustus)*160*ELEKTER!H13/1000</f>
        <v>0</v>
      </c>
      <c r="I14" s="184">
        <f>(kodukontor_elekter+kodukontor_valgustus)*160*ELEKTER!I13/1000</f>
        <v>0</v>
      </c>
      <c r="J14" s="184">
        <f>(kodukontor_elekter+kodukontor_valgustus)*160*ELEKTER!J13/1000</f>
        <v>0</v>
      </c>
      <c r="K14" s="184">
        <f>(kodukontor_elekter+kodukontor_valgustus)*160*ELEKTER!K13/1000</f>
        <v>0</v>
      </c>
      <c r="L14" s="184">
        <f>(kodukontor_elekter+kodukontor_valgustus)*160*ELEKTER!L13/1000</f>
        <v>0</v>
      </c>
      <c r="M14" s="184">
        <f>(kodukontor_elekter+kodukontor_valgustus)*160*ELEKTER!M13/1000</f>
        <v>0</v>
      </c>
      <c r="N14" s="184">
        <f>(kodukontor_elekter+kodukontor_valgustus)*160*ELEKTER!N13/1000</f>
        <v>0</v>
      </c>
      <c r="O14" s="398">
        <f>(kodukontor_elekter+kodukontor_valgustus)*160*ELEKTER!O13/1000</f>
        <v>0</v>
      </c>
      <c r="P14" s="68">
        <f>SUM(D14:O14)</f>
        <v>0</v>
      </c>
      <c r="Q14" s="172"/>
      <c r="R14" s="179"/>
    </row>
    <row r="15" spans="2:20" x14ac:dyDescent="0.25">
      <c r="B15" s="386"/>
      <c r="C15" s="46" t="s">
        <v>42</v>
      </c>
      <c r="D15" s="385">
        <f>SUM(D12,D14)</f>
        <v>0</v>
      </c>
      <c r="E15" s="385">
        <f t="shared" ref="E15:O15" si="1">SUM(E12,E14)</f>
        <v>0</v>
      </c>
      <c r="F15" s="385">
        <f t="shared" si="1"/>
        <v>0</v>
      </c>
      <c r="G15" s="385">
        <f t="shared" si="1"/>
        <v>0</v>
      </c>
      <c r="H15" s="385">
        <f t="shared" si="1"/>
        <v>0</v>
      </c>
      <c r="I15" s="385">
        <f t="shared" si="1"/>
        <v>0</v>
      </c>
      <c r="J15" s="385">
        <f t="shared" si="1"/>
        <v>0</v>
      </c>
      <c r="K15" s="385">
        <f t="shared" si="1"/>
        <v>0</v>
      </c>
      <c r="L15" s="385">
        <f t="shared" si="1"/>
        <v>0</v>
      </c>
      <c r="M15" s="385">
        <f t="shared" si="1"/>
        <v>0</v>
      </c>
      <c r="N15" s="385">
        <f t="shared" si="1"/>
        <v>0</v>
      </c>
      <c r="O15" s="385">
        <f t="shared" si="1"/>
        <v>0</v>
      </c>
      <c r="P15" s="70">
        <f>SUM(D15:O15)</f>
        <v>0</v>
      </c>
      <c r="Q15" s="172"/>
      <c r="R15" s="173"/>
    </row>
    <row r="16" spans="2:20" ht="15.75" thickBot="1" x14ac:dyDescent="0.3">
      <c r="B16" s="387"/>
      <c r="C16" s="47" t="s">
        <v>43</v>
      </c>
      <c r="D16" s="183" t="e">
        <f>D15/a_2022</f>
        <v>#DIV/0!</v>
      </c>
      <c r="E16" s="184" t="e">
        <f t="shared" ref="E16:O16" si="2">E15/a_2022</f>
        <v>#DIV/0!</v>
      </c>
      <c r="F16" s="184" t="e">
        <f t="shared" si="2"/>
        <v>#DIV/0!</v>
      </c>
      <c r="G16" s="184" t="e">
        <f t="shared" si="2"/>
        <v>#DIV/0!</v>
      </c>
      <c r="H16" s="184" t="e">
        <f t="shared" si="2"/>
        <v>#DIV/0!</v>
      </c>
      <c r="I16" s="184" t="e">
        <f t="shared" si="2"/>
        <v>#DIV/0!</v>
      </c>
      <c r="J16" s="184" t="e">
        <f t="shared" si="2"/>
        <v>#DIV/0!</v>
      </c>
      <c r="K16" s="184" t="e">
        <f t="shared" si="2"/>
        <v>#DIV/0!</v>
      </c>
      <c r="L16" s="184" t="e">
        <f t="shared" si="2"/>
        <v>#DIV/0!</v>
      </c>
      <c r="M16" s="184" t="e">
        <f t="shared" si="2"/>
        <v>#DIV/0!</v>
      </c>
      <c r="N16" s="184" t="e">
        <f t="shared" si="2"/>
        <v>#DIV/0!</v>
      </c>
      <c r="O16" s="184" t="e">
        <f t="shared" si="2"/>
        <v>#DIV/0!</v>
      </c>
      <c r="P16" s="68" t="e">
        <f>SUM(D16:O16)</f>
        <v>#DIV/0!</v>
      </c>
      <c r="Q16" s="174"/>
      <c r="R16" s="175"/>
    </row>
    <row r="17" spans="2:18" x14ac:dyDescent="0.25">
      <c r="B17" s="375">
        <f>ÜLDANDMED!D10</f>
        <v>2023</v>
      </c>
      <c r="C17" s="382" t="s">
        <v>39</v>
      </c>
      <c r="D17" s="182"/>
      <c r="E17" s="182"/>
      <c r="F17" s="182"/>
      <c r="G17" s="182"/>
      <c r="H17" s="182"/>
      <c r="I17" s="182"/>
      <c r="J17" s="182"/>
      <c r="K17" s="182"/>
      <c r="L17" s="182"/>
      <c r="M17" s="182"/>
      <c r="N17" s="182"/>
      <c r="O17" s="182"/>
      <c r="P17" s="67">
        <f t="shared" ref="P17" si="3">SUM(D17:O17)</f>
        <v>0</v>
      </c>
      <c r="Q17" s="170"/>
      <c r="R17" s="171"/>
    </row>
    <row r="18" spans="2:18" x14ac:dyDescent="0.25">
      <c r="B18" s="386"/>
      <c r="C18" s="47" t="s">
        <v>40</v>
      </c>
      <c r="D18" s="364"/>
      <c r="E18" s="185"/>
      <c r="F18" s="185"/>
      <c r="G18" s="185"/>
      <c r="H18" s="365"/>
      <c r="I18" s="365"/>
      <c r="J18" s="185"/>
      <c r="K18" s="185"/>
      <c r="L18" s="185"/>
      <c r="M18" s="185"/>
      <c r="N18" s="185"/>
      <c r="O18" s="366"/>
      <c r="P18" s="68" t="e">
        <f>AVERAGE(D18:O18)</f>
        <v>#DIV/0!</v>
      </c>
      <c r="Q18" s="172"/>
      <c r="R18" s="173"/>
    </row>
    <row r="19" spans="2:18" x14ac:dyDescent="0.25">
      <c r="B19" s="386"/>
      <c r="C19" s="46" t="s">
        <v>41</v>
      </c>
      <c r="D19" s="186">
        <f>(kodukontor_elekter+kodukontor_valgustus)*160*ELEKTER!D18/1000</f>
        <v>0</v>
      </c>
      <c r="E19" s="184">
        <f>(kodukontor_elekter+kodukontor_valgustus)*160*ELEKTER!E18/1000</f>
        <v>0</v>
      </c>
      <c r="F19" s="184">
        <f>(kodukontor_elekter+kodukontor_valgustus)*160*ELEKTER!F18/1000</f>
        <v>0</v>
      </c>
      <c r="G19" s="184">
        <f>(kodukontor_elekter+kodukontor_valgustus)*160*ELEKTER!G18/1000</f>
        <v>0</v>
      </c>
      <c r="H19" s="184">
        <f>(kodukontor_elekter+kodukontor_valgustus)*160*ELEKTER!H18/1000</f>
        <v>0</v>
      </c>
      <c r="I19" s="184">
        <f>(kodukontor_elekter+kodukontor_valgustus)*160*ELEKTER!I18/1000</f>
        <v>0</v>
      </c>
      <c r="J19" s="184">
        <f>(kodukontor_elekter+kodukontor_valgustus)*160*ELEKTER!J18/1000</f>
        <v>0</v>
      </c>
      <c r="K19" s="184">
        <f>(kodukontor_elekter+kodukontor_valgustus)*160*ELEKTER!K18/1000</f>
        <v>0</v>
      </c>
      <c r="L19" s="184">
        <f>(kodukontor_elekter+kodukontor_valgustus)*160*ELEKTER!L18/1000</f>
        <v>0</v>
      </c>
      <c r="M19" s="184">
        <f>(kodukontor_elekter+kodukontor_valgustus)*160*ELEKTER!M18/1000</f>
        <v>0</v>
      </c>
      <c r="N19" s="184">
        <f>(kodukontor_elekter+kodukontor_valgustus)*160*ELEKTER!N18/1000</f>
        <v>0</v>
      </c>
      <c r="O19" s="398">
        <f>(kodukontor_elekter+kodukontor_valgustus)*160*ELEKTER!O18/1000</f>
        <v>0</v>
      </c>
      <c r="P19" s="68">
        <f>SUM(D19:O19)</f>
        <v>0</v>
      </c>
      <c r="Q19" s="172"/>
      <c r="R19" s="179"/>
    </row>
    <row r="20" spans="2:18" x14ac:dyDescent="0.25">
      <c r="B20" s="376"/>
      <c r="C20" s="46" t="s">
        <v>42</v>
      </c>
      <c r="D20" s="383">
        <f>SUM(D17,D19)</f>
        <v>0</v>
      </c>
      <c r="E20" s="388">
        <f t="shared" ref="E20:O20" si="4">SUM(E17,E19)</f>
        <v>0</v>
      </c>
      <c r="F20" s="388">
        <f t="shared" si="4"/>
        <v>0</v>
      </c>
      <c r="G20" s="388">
        <f t="shared" si="4"/>
        <v>0</v>
      </c>
      <c r="H20" s="388">
        <f t="shared" si="4"/>
        <v>0</v>
      </c>
      <c r="I20" s="388">
        <f t="shared" si="4"/>
        <v>0</v>
      </c>
      <c r="J20" s="388">
        <f t="shared" si="4"/>
        <v>0</v>
      </c>
      <c r="K20" s="388">
        <f t="shared" si="4"/>
        <v>0</v>
      </c>
      <c r="L20" s="388">
        <f t="shared" si="4"/>
        <v>0</v>
      </c>
      <c r="M20" s="388">
        <f t="shared" si="4"/>
        <v>0</v>
      </c>
      <c r="N20" s="388">
        <f t="shared" si="4"/>
        <v>0</v>
      </c>
      <c r="O20" s="389">
        <f t="shared" si="4"/>
        <v>0</v>
      </c>
      <c r="P20" s="68">
        <f>SUM(D20:O20)</f>
        <v>0</v>
      </c>
      <c r="Q20" s="172"/>
      <c r="R20" s="173"/>
    </row>
    <row r="21" spans="2:18" ht="15.75" thickBot="1" x14ac:dyDescent="0.3">
      <c r="B21" s="376"/>
      <c r="C21" s="47" t="s">
        <v>43</v>
      </c>
      <c r="D21" s="187" t="e">
        <f t="shared" ref="D21:O21" si="5">D20/a_2023</f>
        <v>#DIV/0!</v>
      </c>
      <c r="E21" s="188" t="e">
        <f t="shared" si="5"/>
        <v>#DIV/0!</v>
      </c>
      <c r="F21" s="188" t="e">
        <f t="shared" si="5"/>
        <v>#DIV/0!</v>
      </c>
      <c r="G21" s="188" t="e">
        <f t="shared" si="5"/>
        <v>#DIV/0!</v>
      </c>
      <c r="H21" s="188" t="e">
        <f t="shared" si="5"/>
        <v>#DIV/0!</v>
      </c>
      <c r="I21" s="188" t="e">
        <f t="shared" si="5"/>
        <v>#DIV/0!</v>
      </c>
      <c r="J21" s="188" t="e">
        <f t="shared" si="5"/>
        <v>#DIV/0!</v>
      </c>
      <c r="K21" s="188" t="e">
        <f t="shared" si="5"/>
        <v>#DIV/0!</v>
      </c>
      <c r="L21" s="188" t="e">
        <f t="shared" si="5"/>
        <v>#DIV/0!</v>
      </c>
      <c r="M21" s="188" t="e">
        <f t="shared" si="5"/>
        <v>#DIV/0!</v>
      </c>
      <c r="N21" s="188" t="e">
        <f t="shared" si="5"/>
        <v>#DIV/0!</v>
      </c>
      <c r="O21" s="188" t="e">
        <f t="shared" si="5"/>
        <v>#DIV/0!</v>
      </c>
      <c r="P21" s="69" t="e">
        <f>SUM(D21:O21)</f>
        <v>#DIV/0!</v>
      </c>
      <c r="Q21" s="176"/>
      <c r="R21" s="177"/>
    </row>
    <row r="22" spans="2:18" x14ac:dyDescent="0.25">
      <c r="B22" s="375">
        <f>ÜLDANDMED!E10</f>
        <v>2024</v>
      </c>
      <c r="C22" s="382" t="s">
        <v>39</v>
      </c>
      <c r="D22" s="182"/>
      <c r="E22" s="182"/>
      <c r="F22" s="182"/>
      <c r="G22" s="182"/>
      <c r="H22" s="182"/>
      <c r="I22" s="182"/>
      <c r="J22" s="182"/>
      <c r="K22" s="182"/>
      <c r="L22" s="182"/>
      <c r="M22" s="182"/>
      <c r="N22" s="182"/>
      <c r="O22" s="182"/>
      <c r="P22" s="70">
        <f t="shared" si="0"/>
        <v>0</v>
      </c>
      <c r="Q22" s="180"/>
      <c r="R22" s="178"/>
    </row>
    <row r="23" spans="2:18" x14ac:dyDescent="0.25">
      <c r="B23" s="386"/>
      <c r="C23" s="47" t="s">
        <v>40</v>
      </c>
      <c r="D23" s="364"/>
      <c r="E23" s="185"/>
      <c r="F23" s="185"/>
      <c r="G23" s="185"/>
      <c r="H23" s="365"/>
      <c r="I23" s="365"/>
      <c r="J23" s="185"/>
      <c r="K23" s="185"/>
      <c r="L23" s="185"/>
      <c r="M23" s="185"/>
      <c r="N23" s="185"/>
      <c r="O23" s="366"/>
      <c r="P23" s="68" t="e">
        <f>AVERAGE(D23:O23)</f>
        <v>#DIV/0!</v>
      </c>
      <c r="Q23" s="172"/>
      <c r="R23" s="173"/>
    </row>
    <row r="24" spans="2:18" x14ac:dyDescent="0.25">
      <c r="B24" s="386"/>
      <c r="C24" s="46" t="s">
        <v>41</v>
      </c>
      <c r="D24" s="186">
        <f>(kodukontor_elekter+kodukontor_valgustus)*160*ELEKTER!D23/1000</f>
        <v>0</v>
      </c>
      <c r="E24" s="184">
        <f>(kodukontor_elekter+kodukontor_valgustus)*160*ELEKTER!E23/1000</f>
        <v>0</v>
      </c>
      <c r="F24" s="184">
        <f>(kodukontor_elekter+kodukontor_valgustus)*160*ELEKTER!F23/1000</f>
        <v>0</v>
      </c>
      <c r="G24" s="184">
        <f>(kodukontor_elekter+kodukontor_valgustus)*160*ELEKTER!G23/1000</f>
        <v>0</v>
      </c>
      <c r="H24" s="184">
        <f>(kodukontor_elekter+kodukontor_valgustus)*160*ELEKTER!H23/1000</f>
        <v>0</v>
      </c>
      <c r="I24" s="184">
        <f>(kodukontor_elekter+kodukontor_valgustus)*160*ELEKTER!I23/1000</f>
        <v>0</v>
      </c>
      <c r="J24" s="184">
        <f>(kodukontor_elekter+kodukontor_valgustus)*160*ELEKTER!J23/1000</f>
        <v>0</v>
      </c>
      <c r="K24" s="184">
        <f>(kodukontor_elekter+kodukontor_valgustus)*160*ELEKTER!K23/1000</f>
        <v>0</v>
      </c>
      <c r="L24" s="184">
        <f>(kodukontor_elekter+kodukontor_valgustus)*160*ELEKTER!L23/1000</f>
        <v>0</v>
      </c>
      <c r="M24" s="184">
        <f>(kodukontor_elekter+kodukontor_valgustus)*160*ELEKTER!M23/1000</f>
        <v>0</v>
      </c>
      <c r="N24" s="184">
        <f>(kodukontor_elekter+kodukontor_valgustus)*160*ELEKTER!N23/1000</f>
        <v>0</v>
      </c>
      <c r="O24" s="398">
        <f>(kodukontor_elekter+kodukontor_valgustus)*160*ELEKTER!O23/1000</f>
        <v>0</v>
      </c>
      <c r="P24" s="68">
        <f>SUM(D24:O24)</f>
        <v>0</v>
      </c>
      <c r="Q24" s="172"/>
      <c r="R24" s="179"/>
    </row>
    <row r="25" spans="2:18" x14ac:dyDescent="0.25">
      <c r="B25" s="376"/>
      <c r="C25" s="46" t="s">
        <v>42</v>
      </c>
      <c r="D25" s="384">
        <f>SUM(D22,D24)</f>
        <v>0</v>
      </c>
      <c r="E25" s="384">
        <f t="shared" ref="E25:O25" si="6">SUM(E22,E24)</f>
        <v>0</v>
      </c>
      <c r="F25" s="384">
        <f t="shared" si="6"/>
        <v>0</v>
      </c>
      <c r="G25" s="384">
        <f t="shared" si="6"/>
        <v>0</v>
      </c>
      <c r="H25" s="384">
        <f t="shared" si="6"/>
        <v>0</v>
      </c>
      <c r="I25" s="384">
        <f t="shared" si="6"/>
        <v>0</v>
      </c>
      <c r="J25" s="384">
        <f t="shared" si="6"/>
        <v>0</v>
      </c>
      <c r="K25" s="384">
        <f t="shared" si="6"/>
        <v>0</v>
      </c>
      <c r="L25" s="384">
        <f t="shared" si="6"/>
        <v>0</v>
      </c>
      <c r="M25" s="384">
        <f t="shared" si="6"/>
        <v>0</v>
      </c>
      <c r="N25" s="384">
        <f t="shared" si="6"/>
        <v>0</v>
      </c>
      <c r="O25" s="384">
        <f t="shared" si="6"/>
        <v>0</v>
      </c>
      <c r="P25" s="68">
        <f t="shared" si="0"/>
        <v>0</v>
      </c>
      <c r="Q25" s="172"/>
      <c r="R25" s="173"/>
    </row>
    <row r="26" spans="2:18" ht="15.75" thickBot="1" x14ac:dyDescent="0.3">
      <c r="B26" s="376"/>
      <c r="C26" s="47" t="s">
        <v>43</v>
      </c>
      <c r="D26" s="183" t="e">
        <f t="shared" ref="D26:O26" si="7">D25/a_2024</f>
        <v>#DIV/0!</v>
      </c>
      <c r="E26" s="184" t="e">
        <f t="shared" si="7"/>
        <v>#DIV/0!</v>
      </c>
      <c r="F26" s="184" t="e">
        <f t="shared" si="7"/>
        <v>#DIV/0!</v>
      </c>
      <c r="G26" s="184" t="e">
        <f t="shared" si="7"/>
        <v>#DIV/0!</v>
      </c>
      <c r="H26" s="184" t="e">
        <f t="shared" si="7"/>
        <v>#DIV/0!</v>
      </c>
      <c r="I26" s="184" t="e">
        <f t="shared" si="7"/>
        <v>#DIV/0!</v>
      </c>
      <c r="J26" s="184" t="e">
        <f t="shared" si="7"/>
        <v>#DIV/0!</v>
      </c>
      <c r="K26" s="184" t="e">
        <f t="shared" si="7"/>
        <v>#DIV/0!</v>
      </c>
      <c r="L26" s="184" t="e">
        <f t="shared" si="7"/>
        <v>#DIV/0!</v>
      </c>
      <c r="M26" s="184" t="e">
        <f t="shared" si="7"/>
        <v>#DIV/0!</v>
      </c>
      <c r="N26" s="184" t="e">
        <f t="shared" si="7"/>
        <v>#DIV/0!</v>
      </c>
      <c r="O26" s="189" t="e">
        <f t="shared" si="7"/>
        <v>#DIV/0!</v>
      </c>
      <c r="P26" s="68" t="e">
        <f t="shared" si="0"/>
        <v>#DIV/0!</v>
      </c>
      <c r="Q26" s="174"/>
      <c r="R26" s="175"/>
    </row>
    <row r="27" spans="2:18" x14ac:dyDescent="0.25">
      <c r="B27" s="375">
        <f>ÜLDANDMED!F10</f>
        <v>2025</v>
      </c>
      <c r="C27" s="382" t="s">
        <v>39</v>
      </c>
      <c r="D27" s="182"/>
      <c r="E27" s="182"/>
      <c r="F27" s="182"/>
      <c r="G27" s="182"/>
      <c r="H27" s="182"/>
      <c r="I27" s="182"/>
      <c r="J27" s="182"/>
      <c r="K27" s="182"/>
      <c r="L27" s="182"/>
      <c r="M27" s="182"/>
      <c r="N27" s="182"/>
      <c r="O27" s="182"/>
      <c r="P27" s="67">
        <f t="shared" si="0"/>
        <v>0</v>
      </c>
      <c r="Q27" s="170"/>
      <c r="R27" s="171"/>
    </row>
    <row r="28" spans="2:18" x14ac:dyDescent="0.25">
      <c r="B28" s="386"/>
      <c r="C28" s="47" t="s">
        <v>40</v>
      </c>
      <c r="D28" s="364"/>
      <c r="E28" s="185"/>
      <c r="F28" s="185"/>
      <c r="G28" s="185"/>
      <c r="H28" s="365"/>
      <c r="I28" s="365"/>
      <c r="J28" s="185"/>
      <c r="K28" s="185"/>
      <c r="L28" s="185"/>
      <c r="M28" s="185"/>
      <c r="N28" s="185"/>
      <c r="O28" s="366"/>
      <c r="P28" s="68" t="e">
        <f>AVERAGE(D28:O28)</f>
        <v>#DIV/0!</v>
      </c>
      <c r="Q28" s="172"/>
      <c r="R28" s="173"/>
    </row>
    <row r="29" spans="2:18" x14ac:dyDescent="0.25">
      <c r="B29" s="386"/>
      <c r="C29" s="46" t="s">
        <v>41</v>
      </c>
      <c r="D29" s="186">
        <f>(kodukontor_elekter+kodukontor_valgustus)*160*ELEKTER!D28/1000</f>
        <v>0</v>
      </c>
      <c r="E29" s="184">
        <f>(kodukontor_elekter+kodukontor_valgustus)*160*ELEKTER!E28/1000</f>
        <v>0</v>
      </c>
      <c r="F29" s="184">
        <f>(kodukontor_elekter+kodukontor_valgustus)*160*ELEKTER!F28/1000</f>
        <v>0</v>
      </c>
      <c r="G29" s="184">
        <f>(kodukontor_elekter+kodukontor_valgustus)*160*ELEKTER!G28/1000</f>
        <v>0</v>
      </c>
      <c r="H29" s="184">
        <f>(kodukontor_elekter+kodukontor_valgustus)*160*ELEKTER!H28/1000</f>
        <v>0</v>
      </c>
      <c r="I29" s="184">
        <f>(kodukontor_elekter+kodukontor_valgustus)*160*ELEKTER!I28/1000</f>
        <v>0</v>
      </c>
      <c r="J29" s="184">
        <f>(kodukontor_elekter+kodukontor_valgustus)*160*ELEKTER!J28/1000</f>
        <v>0</v>
      </c>
      <c r="K29" s="184">
        <f>(kodukontor_elekter+kodukontor_valgustus)*160*ELEKTER!K28/1000</f>
        <v>0</v>
      </c>
      <c r="L29" s="184">
        <f>(kodukontor_elekter+kodukontor_valgustus)*160*ELEKTER!L28/1000</f>
        <v>0</v>
      </c>
      <c r="M29" s="184">
        <f>(kodukontor_elekter+kodukontor_valgustus)*160*ELEKTER!M28/1000</f>
        <v>0</v>
      </c>
      <c r="N29" s="184">
        <f>(kodukontor_elekter+kodukontor_valgustus)*160*ELEKTER!N28/1000</f>
        <v>0</v>
      </c>
      <c r="O29" s="398">
        <f>(kodukontor_elekter+kodukontor_valgustus)*160*ELEKTER!O28/1000</f>
        <v>0</v>
      </c>
      <c r="P29" s="68">
        <f>SUM(D29:O29)</f>
        <v>0</v>
      </c>
      <c r="Q29" s="172"/>
      <c r="R29" s="179"/>
    </row>
    <row r="30" spans="2:18" x14ac:dyDescent="0.25">
      <c r="B30" s="376"/>
      <c r="C30" s="46" t="s">
        <v>42</v>
      </c>
      <c r="D30" s="384">
        <f>SUM(D27,D29)</f>
        <v>0</v>
      </c>
      <c r="E30" s="384">
        <f t="shared" ref="E30:O30" si="8">SUM(E27,E29)</f>
        <v>0</v>
      </c>
      <c r="F30" s="384">
        <f t="shared" si="8"/>
        <v>0</v>
      </c>
      <c r="G30" s="384">
        <f t="shared" si="8"/>
        <v>0</v>
      </c>
      <c r="H30" s="384">
        <f t="shared" si="8"/>
        <v>0</v>
      </c>
      <c r="I30" s="384">
        <f t="shared" si="8"/>
        <v>0</v>
      </c>
      <c r="J30" s="384">
        <f t="shared" si="8"/>
        <v>0</v>
      </c>
      <c r="K30" s="384">
        <f t="shared" si="8"/>
        <v>0</v>
      </c>
      <c r="L30" s="384">
        <f t="shared" si="8"/>
        <v>0</v>
      </c>
      <c r="M30" s="384">
        <f t="shared" si="8"/>
        <v>0</v>
      </c>
      <c r="N30" s="384">
        <f t="shared" si="8"/>
        <v>0</v>
      </c>
      <c r="O30" s="384">
        <f t="shared" si="8"/>
        <v>0</v>
      </c>
      <c r="P30" s="68">
        <f t="shared" si="0"/>
        <v>0</v>
      </c>
      <c r="Q30" s="172"/>
      <c r="R30" s="173"/>
    </row>
    <row r="31" spans="2:18" ht="15.75" thickBot="1" x14ac:dyDescent="0.3">
      <c r="B31" s="376"/>
      <c r="C31" s="47" t="s">
        <v>43</v>
      </c>
      <c r="D31" s="183" t="e">
        <f>D30/a_2025</f>
        <v>#DIV/0!</v>
      </c>
      <c r="E31" s="184" t="e">
        <f t="shared" ref="E31:O31" si="9">E30/a_2025</f>
        <v>#DIV/0!</v>
      </c>
      <c r="F31" s="184" t="e">
        <f t="shared" si="9"/>
        <v>#DIV/0!</v>
      </c>
      <c r="G31" s="184" t="e">
        <f t="shared" si="9"/>
        <v>#DIV/0!</v>
      </c>
      <c r="H31" s="184" t="e">
        <f t="shared" si="9"/>
        <v>#DIV/0!</v>
      </c>
      <c r="I31" s="184" t="e">
        <f t="shared" si="9"/>
        <v>#DIV/0!</v>
      </c>
      <c r="J31" s="184" t="e">
        <f t="shared" si="9"/>
        <v>#DIV/0!</v>
      </c>
      <c r="K31" s="184" t="e">
        <f t="shared" si="9"/>
        <v>#DIV/0!</v>
      </c>
      <c r="L31" s="184" t="e">
        <f t="shared" si="9"/>
        <v>#DIV/0!</v>
      </c>
      <c r="M31" s="184" t="e">
        <f t="shared" si="9"/>
        <v>#DIV/0!</v>
      </c>
      <c r="N31" s="184" t="e">
        <f t="shared" si="9"/>
        <v>#DIV/0!</v>
      </c>
      <c r="O31" s="189" t="e">
        <f t="shared" si="9"/>
        <v>#DIV/0!</v>
      </c>
      <c r="P31" s="68" t="e">
        <f t="shared" si="0"/>
        <v>#DIV/0!</v>
      </c>
      <c r="Q31" s="176"/>
      <c r="R31" s="177"/>
    </row>
    <row r="32" spans="2:18" x14ac:dyDescent="0.25">
      <c r="B32" s="375">
        <f>ÜLDANDMED!G10</f>
        <v>2026</v>
      </c>
      <c r="C32" s="382" t="s">
        <v>39</v>
      </c>
      <c r="D32" s="182"/>
      <c r="E32" s="182"/>
      <c r="F32" s="182"/>
      <c r="G32" s="182"/>
      <c r="H32" s="182"/>
      <c r="I32" s="182"/>
      <c r="J32" s="182"/>
      <c r="K32" s="182"/>
      <c r="L32" s="182"/>
      <c r="M32" s="182"/>
      <c r="N32" s="182"/>
      <c r="O32" s="182"/>
      <c r="P32" s="67">
        <f t="shared" si="0"/>
        <v>0</v>
      </c>
      <c r="Q32" s="180"/>
      <c r="R32" s="178"/>
    </row>
    <row r="33" spans="2:18" x14ac:dyDescent="0.25">
      <c r="B33" s="386"/>
      <c r="C33" s="47" t="s">
        <v>40</v>
      </c>
      <c r="D33" s="364"/>
      <c r="E33" s="185"/>
      <c r="F33" s="185"/>
      <c r="G33" s="185"/>
      <c r="H33" s="365"/>
      <c r="I33" s="365"/>
      <c r="J33" s="185"/>
      <c r="K33" s="185"/>
      <c r="L33" s="185"/>
      <c r="M33" s="185"/>
      <c r="N33" s="185"/>
      <c r="O33" s="366"/>
      <c r="P33" s="68" t="e">
        <f>AVERAGE(D33:O33)</f>
        <v>#DIV/0!</v>
      </c>
      <c r="Q33" s="172"/>
      <c r="R33" s="173"/>
    </row>
    <row r="34" spans="2:18" x14ac:dyDescent="0.25">
      <c r="B34" s="386"/>
      <c r="C34" s="46" t="s">
        <v>41</v>
      </c>
      <c r="D34" s="186">
        <f>(kodukontor_elekter+kodukontor_valgustus)*160*ELEKTER!D33/1000</f>
        <v>0</v>
      </c>
      <c r="E34" s="184">
        <f>(kodukontor_elekter+kodukontor_valgustus)*160*ELEKTER!E33/1000</f>
        <v>0</v>
      </c>
      <c r="F34" s="184">
        <f>(kodukontor_elekter+kodukontor_valgustus)*160*ELEKTER!F33/1000</f>
        <v>0</v>
      </c>
      <c r="G34" s="184">
        <f>(kodukontor_elekter+kodukontor_valgustus)*160*ELEKTER!G33/1000</f>
        <v>0</v>
      </c>
      <c r="H34" s="184">
        <f>(kodukontor_elekter+kodukontor_valgustus)*160*ELEKTER!H33/1000</f>
        <v>0</v>
      </c>
      <c r="I34" s="184">
        <f>(kodukontor_elekter+kodukontor_valgustus)*160*ELEKTER!I33/1000</f>
        <v>0</v>
      </c>
      <c r="J34" s="184">
        <f>(kodukontor_elekter+kodukontor_valgustus)*160*ELEKTER!J33/1000</f>
        <v>0</v>
      </c>
      <c r="K34" s="184">
        <f>(kodukontor_elekter+kodukontor_valgustus)*160*ELEKTER!K33/1000</f>
        <v>0</v>
      </c>
      <c r="L34" s="184">
        <f>(kodukontor_elekter+kodukontor_valgustus)*160*ELEKTER!L33/1000</f>
        <v>0</v>
      </c>
      <c r="M34" s="184">
        <f>(kodukontor_elekter+kodukontor_valgustus)*160*ELEKTER!M33/1000</f>
        <v>0</v>
      </c>
      <c r="N34" s="184">
        <f>(kodukontor_elekter+kodukontor_valgustus)*160*ELEKTER!N33/1000</f>
        <v>0</v>
      </c>
      <c r="O34" s="398">
        <f>(kodukontor_elekter+kodukontor_valgustus)*160*ELEKTER!O33/1000</f>
        <v>0</v>
      </c>
      <c r="P34" s="68">
        <f>SUM(D34:O34)</f>
        <v>0</v>
      </c>
      <c r="Q34" s="172"/>
      <c r="R34" s="179"/>
    </row>
    <row r="35" spans="2:18" x14ac:dyDescent="0.25">
      <c r="B35" s="376"/>
      <c r="C35" s="46" t="s">
        <v>42</v>
      </c>
      <c r="D35" s="384">
        <f>SUM(D32,D34)</f>
        <v>0</v>
      </c>
      <c r="E35" s="384">
        <f t="shared" ref="E35:O35" si="10">SUM(E32,E34)</f>
        <v>0</v>
      </c>
      <c r="F35" s="384">
        <f t="shared" si="10"/>
        <v>0</v>
      </c>
      <c r="G35" s="384">
        <f t="shared" si="10"/>
        <v>0</v>
      </c>
      <c r="H35" s="384">
        <f t="shared" si="10"/>
        <v>0</v>
      </c>
      <c r="I35" s="384">
        <f t="shared" si="10"/>
        <v>0</v>
      </c>
      <c r="J35" s="384">
        <f t="shared" si="10"/>
        <v>0</v>
      </c>
      <c r="K35" s="384">
        <f t="shared" si="10"/>
        <v>0</v>
      </c>
      <c r="L35" s="384">
        <f t="shared" si="10"/>
        <v>0</v>
      </c>
      <c r="M35" s="384">
        <f t="shared" si="10"/>
        <v>0</v>
      </c>
      <c r="N35" s="384">
        <f t="shared" si="10"/>
        <v>0</v>
      </c>
      <c r="O35" s="384">
        <f t="shared" si="10"/>
        <v>0</v>
      </c>
      <c r="P35" s="68">
        <f t="shared" si="0"/>
        <v>0</v>
      </c>
      <c r="Q35" s="172"/>
      <c r="R35" s="173"/>
    </row>
    <row r="36" spans="2:18" ht="15.75" thickBot="1" x14ac:dyDescent="0.3">
      <c r="B36" s="376"/>
      <c r="C36" s="47" t="s">
        <v>43</v>
      </c>
      <c r="D36" s="183" t="e">
        <f t="shared" ref="D36:N36" si="11">D35/a_2026</f>
        <v>#DIV/0!</v>
      </c>
      <c r="E36" s="184" t="e">
        <f t="shared" si="11"/>
        <v>#DIV/0!</v>
      </c>
      <c r="F36" s="184" t="e">
        <f t="shared" si="11"/>
        <v>#DIV/0!</v>
      </c>
      <c r="G36" s="184" t="e">
        <f t="shared" si="11"/>
        <v>#DIV/0!</v>
      </c>
      <c r="H36" s="184" t="e">
        <f t="shared" si="11"/>
        <v>#DIV/0!</v>
      </c>
      <c r="I36" s="184" t="e">
        <f t="shared" si="11"/>
        <v>#DIV/0!</v>
      </c>
      <c r="J36" s="184" t="e">
        <f t="shared" si="11"/>
        <v>#DIV/0!</v>
      </c>
      <c r="K36" s="184" t="e">
        <f t="shared" si="11"/>
        <v>#DIV/0!</v>
      </c>
      <c r="L36" s="184" t="e">
        <f t="shared" si="11"/>
        <v>#DIV/0!</v>
      </c>
      <c r="M36" s="184" t="e">
        <f t="shared" si="11"/>
        <v>#DIV/0!</v>
      </c>
      <c r="N36" s="184" t="e">
        <f t="shared" si="11"/>
        <v>#DIV/0!</v>
      </c>
      <c r="O36" s="189" t="e">
        <f>O35/a_2026</f>
        <v>#DIV/0!</v>
      </c>
      <c r="P36" s="68" t="e">
        <f t="shared" si="0"/>
        <v>#DIV/0!</v>
      </c>
      <c r="Q36" s="174"/>
      <c r="R36" s="175"/>
    </row>
    <row r="37" spans="2:18" x14ac:dyDescent="0.25">
      <c r="B37" s="375">
        <f>ÜLDANDMED!H10</f>
        <v>2027</v>
      </c>
      <c r="C37" s="382" t="s">
        <v>39</v>
      </c>
      <c r="D37" s="182"/>
      <c r="E37" s="182"/>
      <c r="F37" s="182"/>
      <c r="G37" s="182"/>
      <c r="H37" s="182"/>
      <c r="I37" s="182"/>
      <c r="J37" s="182"/>
      <c r="K37" s="182"/>
      <c r="L37" s="182"/>
      <c r="M37" s="182"/>
      <c r="N37" s="182"/>
      <c r="O37" s="182"/>
      <c r="P37" s="67">
        <f t="shared" si="0"/>
        <v>0</v>
      </c>
      <c r="Q37" s="170"/>
      <c r="R37" s="171"/>
    </row>
    <row r="38" spans="2:18" x14ac:dyDescent="0.25">
      <c r="B38" s="386"/>
      <c r="C38" s="47" t="s">
        <v>40</v>
      </c>
      <c r="D38" s="364"/>
      <c r="E38" s="185"/>
      <c r="F38" s="185"/>
      <c r="G38" s="185"/>
      <c r="H38" s="365"/>
      <c r="I38" s="365"/>
      <c r="J38" s="185"/>
      <c r="K38" s="185"/>
      <c r="L38" s="185"/>
      <c r="M38" s="185"/>
      <c r="N38" s="185"/>
      <c r="O38" s="366"/>
      <c r="P38" s="68" t="e">
        <f>AVERAGE(D38:O38)</f>
        <v>#DIV/0!</v>
      </c>
      <c r="Q38" s="172"/>
      <c r="R38" s="173"/>
    </row>
    <row r="39" spans="2:18" x14ac:dyDescent="0.25">
      <c r="B39" s="386"/>
      <c r="C39" s="46" t="s">
        <v>41</v>
      </c>
      <c r="D39" s="186">
        <f>(kodukontor_elekter+kodukontor_valgustus)*160*ELEKTER!D38/1000</f>
        <v>0</v>
      </c>
      <c r="E39" s="184">
        <f>(kodukontor_elekter+kodukontor_valgustus)*160*ELEKTER!E38/1000</f>
        <v>0</v>
      </c>
      <c r="F39" s="184">
        <f>(kodukontor_elekter+kodukontor_valgustus)*160*ELEKTER!F38/1000</f>
        <v>0</v>
      </c>
      <c r="G39" s="184">
        <f>(kodukontor_elekter+kodukontor_valgustus)*160*ELEKTER!G38/1000</f>
        <v>0</v>
      </c>
      <c r="H39" s="184">
        <f>(kodukontor_elekter+kodukontor_valgustus)*160*ELEKTER!H38/1000</f>
        <v>0</v>
      </c>
      <c r="I39" s="184">
        <f>(kodukontor_elekter+kodukontor_valgustus)*160*ELEKTER!I38/1000</f>
        <v>0</v>
      </c>
      <c r="J39" s="184">
        <f>(kodukontor_elekter+kodukontor_valgustus)*160*ELEKTER!J38/1000</f>
        <v>0</v>
      </c>
      <c r="K39" s="184">
        <f>(kodukontor_elekter+kodukontor_valgustus)*160*ELEKTER!K38/1000</f>
        <v>0</v>
      </c>
      <c r="L39" s="184">
        <f>(kodukontor_elekter+kodukontor_valgustus)*160*ELEKTER!L38/1000</f>
        <v>0</v>
      </c>
      <c r="M39" s="184">
        <f>(kodukontor_elekter+kodukontor_valgustus)*160*ELEKTER!M38/1000</f>
        <v>0</v>
      </c>
      <c r="N39" s="184">
        <f>(kodukontor_elekter+kodukontor_valgustus)*160*ELEKTER!N38/1000</f>
        <v>0</v>
      </c>
      <c r="O39" s="398">
        <f>(kodukontor_elekter+kodukontor_valgustus)*160*ELEKTER!O38/1000</f>
        <v>0</v>
      </c>
      <c r="P39" s="68">
        <f>SUM(D39:O39)</f>
        <v>0</v>
      </c>
      <c r="Q39" s="172"/>
      <c r="R39" s="179"/>
    </row>
    <row r="40" spans="2:18" x14ac:dyDescent="0.25">
      <c r="B40" s="376"/>
      <c r="C40" s="46" t="s">
        <v>42</v>
      </c>
      <c r="D40" s="384">
        <f>SUM(D37,D39)</f>
        <v>0</v>
      </c>
      <c r="E40" s="384">
        <f t="shared" ref="E40:O40" si="12">SUM(E37,E39)</f>
        <v>0</v>
      </c>
      <c r="F40" s="384">
        <f t="shared" si="12"/>
        <v>0</v>
      </c>
      <c r="G40" s="384">
        <f t="shared" si="12"/>
        <v>0</v>
      </c>
      <c r="H40" s="384">
        <f t="shared" si="12"/>
        <v>0</v>
      </c>
      <c r="I40" s="384">
        <f t="shared" si="12"/>
        <v>0</v>
      </c>
      <c r="J40" s="384">
        <f t="shared" si="12"/>
        <v>0</v>
      </c>
      <c r="K40" s="384">
        <f t="shared" si="12"/>
        <v>0</v>
      </c>
      <c r="L40" s="384">
        <f t="shared" si="12"/>
        <v>0</v>
      </c>
      <c r="M40" s="384">
        <f t="shared" si="12"/>
        <v>0</v>
      </c>
      <c r="N40" s="384">
        <f t="shared" si="12"/>
        <v>0</v>
      </c>
      <c r="O40" s="384">
        <f t="shared" si="12"/>
        <v>0</v>
      </c>
      <c r="P40" s="68">
        <f t="shared" si="0"/>
        <v>0</v>
      </c>
      <c r="Q40" s="172"/>
      <c r="R40" s="173"/>
    </row>
    <row r="41" spans="2:18" ht="15.75" thickBot="1" x14ac:dyDescent="0.3">
      <c r="B41" s="376"/>
      <c r="C41" s="47" t="s">
        <v>43</v>
      </c>
      <c r="D41" s="190" t="e">
        <f t="shared" ref="D41:O41" si="13">D40/a_2027</f>
        <v>#DIV/0!</v>
      </c>
      <c r="E41" s="191" t="e">
        <f t="shared" si="13"/>
        <v>#DIV/0!</v>
      </c>
      <c r="F41" s="191" t="e">
        <f t="shared" si="13"/>
        <v>#DIV/0!</v>
      </c>
      <c r="G41" s="191" t="e">
        <f t="shared" si="13"/>
        <v>#DIV/0!</v>
      </c>
      <c r="H41" s="191" t="e">
        <f t="shared" si="13"/>
        <v>#DIV/0!</v>
      </c>
      <c r="I41" s="191" t="e">
        <f t="shared" si="13"/>
        <v>#DIV/0!</v>
      </c>
      <c r="J41" s="191" t="e">
        <f t="shared" si="13"/>
        <v>#DIV/0!</v>
      </c>
      <c r="K41" s="191" t="e">
        <f t="shared" si="13"/>
        <v>#DIV/0!</v>
      </c>
      <c r="L41" s="191" t="e">
        <f t="shared" si="13"/>
        <v>#DIV/0!</v>
      </c>
      <c r="M41" s="191" t="e">
        <f t="shared" si="13"/>
        <v>#DIV/0!</v>
      </c>
      <c r="N41" s="191" t="e">
        <f t="shared" si="13"/>
        <v>#DIV/0!</v>
      </c>
      <c r="O41" s="192" t="e">
        <f t="shared" si="13"/>
        <v>#DIV/0!</v>
      </c>
      <c r="P41" s="71" t="e">
        <f t="shared" si="0"/>
        <v>#DIV/0!</v>
      </c>
      <c r="Q41" s="176"/>
      <c r="R41" s="177"/>
    </row>
    <row r="42" spans="2:18" x14ac:dyDescent="0.25">
      <c r="B42" s="375">
        <f>ÜLDANDMED!I10</f>
        <v>2028</v>
      </c>
      <c r="C42" s="382" t="s">
        <v>39</v>
      </c>
      <c r="D42" s="182"/>
      <c r="E42" s="182"/>
      <c r="F42" s="182"/>
      <c r="G42" s="182"/>
      <c r="H42" s="182"/>
      <c r="I42" s="182"/>
      <c r="J42" s="182"/>
      <c r="K42" s="182"/>
      <c r="L42" s="182"/>
      <c r="M42" s="182"/>
      <c r="N42" s="182"/>
      <c r="O42" s="182"/>
      <c r="P42" s="67">
        <f t="shared" ref="P42:P46" si="14">SUM(D42:O42)</f>
        <v>0</v>
      </c>
      <c r="Q42" s="180"/>
      <c r="R42" s="178"/>
    </row>
    <row r="43" spans="2:18" x14ac:dyDescent="0.25">
      <c r="B43" s="386"/>
      <c r="C43" s="47" t="s">
        <v>40</v>
      </c>
      <c r="D43" s="364"/>
      <c r="E43" s="185"/>
      <c r="F43" s="185"/>
      <c r="G43" s="185"/>
      <c r="H43" s="365"/>
      <c r="I43" s="365"/>
      <c r="J43" s="185"/>
      <c r="K43" s="185"/>
      <c r="L43" s="185"/>
      <c r="M43" s="185"/>
      <c r="N43" s="185"/>
      <c r="O43" s="366"/>
      <c r="P43" s="68" t="e">
        <f>AVERAGE(D43:O43)</f>
        <v>#DIV/0!</v>
      </c>
      <c r="Q43" s="172"/>
      <c r="R43" s="173"/>
    </row>
    <row r="44" spans="2:18" x14ac:dyDescent="0.25">
      <c r="B44" s="386"/>
      <c r="C44" s="46" t="s">
        <v>41</v>
      </c>
      <c r="D44" s="186">
        <f>(kodukontor_elekter+kodukontor_valgustus)*160*ELEKTER!D43/1000</f>
        <v>0</v>
      </c>
      <c r="E44" s="184">
        <f>(kodukontor_elekter+kodukontor_valgustus)*160*ELEKTER!E43/1000</f>
        <v>0</v>
      </c>
      <c r="F44" s="184">
        <f>(kodukontor_elekter+kodukontor_valgustus)*160*ELEKTER!F43/1000</f>
        <v>0</v>
      </c>
      <c r="G44" s="184">
        <f>(kodukontor_elekter+kodukontor_valgustus)*160*ELEKTER!G43/1000</f>
        <v>0</v>
      </c>
      <c r="H44" s="184">
        <f>(kodukontor_elekter+kodukontor_valgustus)*160*ELEKTER!H43/1000</f>
        <v>0</v>
      </c>
      <c r="I44" s="184">
        <f>(kodukontor_elekter+kodukontor_valgustus)*160*ELEKTER!I43/1000</f>
        <v>0</v>
      </c>
      <c r="J44" s="184">
        <f>(kodukontor_elekter+kodukontor_valgustus)*160*ELEKTER!J43/1000</f>
        <v>0</v>
      </c>
      <c r="K44" s="184">
        <f>(kodukontor_elekter+kodukontor_valgustus)*160*ELEKTER!K43/1000</f>
        <v>0</v>
      </c>
      <c r="L44" s="184">
        <f>(kodukontor_elekter+kodukontor_valgustus)*160*ELEKTER!L43/1000</f>
        <v>0</v>
      </c>
      <c r="M44" s="184">
        <f>(kodukontor_elekter+kodukontor_valgustus)*160*ELEKTER!M43/1000</f>
        <v>0</v>
      </c>
      <c r="N44" s="184">
        <f>(kodukontor_elekter+kodukontor_valgustus)*160*ELEKTER!N43/1000</f>
        <v>0</v>
      </c>
      <c r="O44" s="398">
        <f>(kodukontor_elekter+kodukontor_valgustus)*160*ELEKTER!O43/1000</f>
        <v>0</v>
      </c>
      <c r="P44" s="68">
        <f>SUM(D44:O44)</f>
        <v>0</v>
      </c>
      <c r="Q44" s="172"/>
      <c r="R44" s="179"/>
    </row>
    <row r="45" spans="2:18" x14ac:dyDescent="0.25">
      <c r="B45" s="376"/>
      <c r="C45" s="46" t="s">
        <v>42</v>
      </c>
      <c r="D45" s="384">
        <f>SUM(D42,D44)</f>
        <v>0</v>
      </c>
      <c r="E45" s="384">
        <f t="shared" ref="E45:O45" si="15">SUM(E42,E44)</f>
        <v>0</v>
      </c>
      <c r="F45" s="384">
        <f t="shared" si="15"/>
        <v>0</v>
      </c>
      <c r="G45" s="384">
        <f t="shared" si="15"/>
        <v>0</v>
      </c>
      <c r="H45" s="384">
        <f t="shared" si="15"/>
        <v>0</v>
      </c>
      <c r="I45" s="384">
        <f t="shared" si="15"/>
        <v>0</v>
      </c>
      <c r="J45" s="384">
        <f t="shared" si="15"/>
        <v>0</v>
      </c>
      <c r="K45" s="384">
        <f t="shared" si="15"/>
        <v>0</v>
      </c>
      <c r="L45" s="384">
        <f t="shared" si="15"/>
        <v>0</v>
      </c>
      <c r="M45" s="384">
        <f t="shared" si="15"/>
        <v>0</v>
      </c>
      <c r="N45" s="384">
        <f t="shared" si="15"/>
        <v>0</v>
      </c>
      <c r="O45" s="384">
        <f t="shared" si="15"/>
        <v>0</v>
      </c>
      <c r="P45" s="68">
        <f t="shared" si="14"/>
        <v>0</v>
      </c>
      <c r="Q45" s="172"/>
      <c r="R45" s="173"/>
    </row>
    <row r="46" spans="2:18" ht="15.75" thickBot="1" x14ac:dyDescent="0.3">
      <c r="B46" s="377"/>
      <c r="C46" s="48" t="s">
        <v>43</v>
      </c>
      <c r="D46" s="193" t="e">
        <f t="shared" ref="D46:O46" si="16">D45/a_2028</f>
        <v>#DIV/0!</v>
      </c>
      <c r="E46" s="188" t="e">
        <f t="shared" si="16"/>
        <v>#DIV/0!</v>
      </c>
      <c r="F46" s="188" t="e">
        <f t="shared" si="16"/>
        <v>#DIV/0!</v>
      </c>
      <c r="G46" s="188" t="e">
        <f t="shared" si="16"/>
        <v>#DIV/0!</v>
      </c>
      <c r="H46" s="188" t="e">
        <f t="shared" si="16"/>
        <v>#DIV/0!</v>
      </c>
      <c r="I46" s="188" t="e">
        <f t="shared" si="16"/>
        <v>#DIV/0!</v>
      </c>
      <c r="J46" s="188" t="e">
        <f t="shared" si="16"/>
        <v>#DIV/0!</v>
      </c>
      <c r="K46" s="188" t="e">
        <f t="shared" si="16"/>
        <v>#DIV/0!</v>
      </c>
      <c r="L46" s="188" t="e">
        <f t="shared" si="16"/>
        <v>#DIV/0!</v>
      </c>
      <c r="M46" s="188" t="e">
        <f t="shared" si="16"/>
        <v>#DIV/0!</v>
      </c>
      <c r="N46" s="188" t="e">
        <f t="shared" si="16"/>
        <v>#DIV/0!</v>
      </c>
      <c r="O46" s="194" t="e">
        <f t="shared" si="16"/>
        <v>#DIV/0!</v>
      </c>
      <c r="P46" s="69" t="e">
        <f t="shared" si="14"/>
        <v>#DIV/0!</v>
      </c>
      <c r="Q46" s="176"/>
      <c r="R46" s="177"/>
    </row>
  </sheetData>
  <mergeCells count="19">
    <mergeCell ref="P10:P11"/>
    <mergeCell ref="J10:J11"/>
    <mergeCell ref="K10:K11"/>
    <mergeCell ref="L10:L11"/>
    <mergeCell ref="M10:M11"/>
    <mergeCell ref="N10:N11"/>
    <mergeCell ref="B3:R3"/>
    <mergeCell ref="H10:H11"/>
    <mergeCell ref="I10:I11"/>
    <mergeCell ref="D10:D11"/>
    <mergeCell ref="E10:E11"/>
    <mergeCell ref="F10:F11"/>
    <mergeCell ref="G10:G11"/>
    <mergeCell ref="C10:C11"/>
    <mergeCell ref="O10:O11"/>
    <mergeCell ref="Q9:R9"/>
    <mergeCell ref="B5:C5"/>
    <mergeCell ref="Q10:R10"/>
    <mergeCell ref="B10:B11"/>
  </mergeCells>
  <pageMargins left="0.70866141732283472" right="0.70866141732283472" top="0.74803149606299213" bottom="0.74803149606299213" header="0.31496062992125984" footer="0.31496062992125984"/>
  <pageSetup paperSize="9" scale="3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U55"/>
  <sheetViews>
    <sheetView showGridLines="0" zoomScaleNormal="100" workbookViewId="0">
      <pane xSplit="1" ySplit="1" topLeftCell="B3" activePane="bottomRight" state="frozen"/>
      <selection pane="topRight" activeCell="B1" sqref="B1"/>
      <selection pane="bottomLeft" activeCell="A3" sqref="A3"/>
      <selection pane="bottomRight" sqref="A1:XFD1"/>
    </sheetView>
  </sheetViews>
  <sheetFormatPr defaultRowHeight="15" x14ac:dyDescent="0.25"/>
  <cols>
    <col min="1" max="1" width="2.5703125" customWidth="1"/>
    <col min="2" max="2" width="7.5703125" customWidth="1"/>
    <col min="3" max="3" width="42.5703125" style="3" bestFit="1" customWidth="1"/>
    <col min="4" max="15" width="10.5703125" style="3" customWidth="1"/>
    <col min="16" max="16" width="15.5703125" style="55" customWidth="1"/>
    <col min="17" max="18" width="15.5703125" style="3" customWidth="1"/>
    <col min="19" max="19" width="15.5703125" style="63" customWidth="1"/>
  </cols>
  <sheetData>
    <row r="1" spans="1:21" ht="18.75" x14ac:dyDescent="0.3">
      <c r="B1" s="32" t="s">
        <v>44</v>
      </c>
    </row>
    <row r="2" spans="1:21" x14ac:dyDescent="0.25">
      <c r="A2" s="1"/>
      <c r="B2" s="121"/>
    </row>
    <row r="3" spans="1:21" ht="189" customHeight="1" x14ac:dyDescent="0.25">
      <c r="A3" s="1"/>
      <c r="B3" s="569" t="s">
        <v>45</v>
      </c>
      <c r="C3" s="579"/>
      <c r="D3" s="579"/>
      <c r="E3" s="579"/>
      <c r="F3" s="579"/>
      <c r="G3" s="579"/>
      <c r="H3" s="579"/>
      <c r="I3" s="579"/>
      <c r="J3" s="579"/>
      <c r="K3" s="579"/>
      <c r="L3" s="579"/>
      <c r="M3" s="579"/>
      <c r="N3" s="579"/>
      <c r="O3" s="579"/>
      <c r="P3" s="580"/>
      <c r="Q3"/>
      <c r="R3"/>
      <c r="S3"/>
    </row>
    <row r="4" spans="1:21" ht="15.75" x14ac:dyDescent="0.25">
      <c r="A4" s="1"/>
      <c r="B4" s="36"/>
      <c r="C4" s="43"/>
      <c r="D4" s="36"/>
      <c r="E4" s="36"/>
      <c r="F4" s="36"/>
      <c r="G4" s="36"/>
      <c r="H4" s="36"/>
      <c r="I4" s="36"/>
      <c r="Q4" s="43"/>
      <c r="R4" s="43"/>
      <c r="S4" s="64"/>
    </row>
    <row r="5" spans="1:21" ht="15.75" x14ac:dyDescent="0.25">
      <c r="A5" s="1"/>
      <c r="B5" s="589" t="s">
        <v>8</v>
      </c>
      <c r="C5" s="589"/>
      <c r="D5" s="30"/>
      <c r="E5" s="30"/>
      <c r="Q5" s="154"/>
      <c r="R5" s="154"/>
      <c r="S5" s="65"/>
      <c r="U5" s="33"/>
    </row>
    <row r="6" spans="1:21" ht="14.85" customHeight="1" x14ac:dyDescent="0.25">
      <c r="A6" s="1"/>
      <c r="C6" s="164" t="s">
        <v>9</v>
      </c>
      <c r="D6" s="30"/>
      <c r="E6" s="30"/>
      <c r="Q6"/>
      <c r="R6"/>
      <c r="S6" s="66"/>
    </row>
    <row r="7" spans="1:21" ht="14.85" customHeight="1" x14ac:dyDescent="0.25">
      <c r="A7" s="1"/>
      <c r="C7" s="203" t="s">
        <v>46</v>
      </c>
      <c r="D7" s="30"/>
      <c r="E7" s="30"/>
      <c r="P7" s="419"/>
      <c r="Q7"/>
      <c r="R7"/>
      <c r="S7" s="66"/>
    </row>
    <row r="8" spans="1:21" ht="14.85" customHeight="1" x14ac:dyDescent="0.25">
      <c r="A8" s="1"/>
      <c r="C8" s="165" t="s">
        <v>10</v>
      </c>
      <c r="D8" s="30"/>
      <c r="E8" s="30"/>
      <c r="Q8"/>
      <c r="R8"/>
      <c r="S8" s="66"/>
    </row>
    <row r="9" spans="1:21" s="19" customFormat="1" ht="14.85" customHeight="1" thickBot="1" x14ac:dyDescent="0.3">
      <c r="C9" s="204" t="s">
        <v>19</v>
      </c>
      <c r="F9" s="20"/>
      <c r="G9" s="20"/>
      <c r="H9" s="20"/>
      <c r="I9" s="20"/>
      <c r="J9" s="20"/>
      <c r="K9" s="20"/>
      <c r="L9" s="20"/>
      <c r="M9" s="20"/>
      <c r="N9" s="20"/>
      <c r="O9" s="51"/>
      <c r="P9" s="52"/>
      <c r="Q9"/>
      <c r="R9"/>
    </row>
    <row r="10" spans="1:21" ht="15.75" thickBot="1" x14ac:dyDescent="0.3">
      <c r="Q10" s="587" t="s">
        <v>20</v>
      </c>
      <c r="R10" s="598"/>
      <c r="S10" s="588"/>
    </row>
    <row r="11" spans="1:21" s="2" customFormat="1" ht="14.85" customHeight="1" x14ac:dyDescent="0.2">
      <c r="B11" s="613" t="s">
        <v>21</v>
      </c>
      <c r="C11" s="616" t="s">
        <v>22</v>
      </c>
      <c r="D11" s="607" t="s">
        <v>23</v>
      </c>
      <c r="E11" s="610" t="s">
        <v>24</v>
      </c>
      <c r="F11" s="610" t="s">
        <v>25</v>
      </c>
      <c r="G11" s="610" t="s">
        <v>26</v>
      </c>
      <c r="H11" s="610" t="s">
        <v>27</v>
      </c>
      <c r="I11" s="610" t="s">
        <v>28</v>
      </c>
      <c r="J11" s="610" t="s">
        <v>29</v>
      </c>
      <c r="K11" s="610" t="s">
        <v>30</v>
      </c>
      <c r="L11" s="610" t="s">
        <v>31</v>
      </c>
      <c r="M11" s="610" t="s">
        <v>32</v>
      </c>
      <c r="N11" s="610" t="s">
        <v>33</v>
      </c>
      <c r="O11" s="619" t="s">
        <v>34</v>
      </c>
      <c r="P11" s="613" t="s">
        <v>35</v>
      </c>
      <c r="Q11" s="601" t="s">
        <v>47</v>
      </c>
      <c r="R11" s="595" t="s">
        <v>48</v>
      </c>
      <c r="S11" s="604" t="s">
        <v>49</v>
      </c>
    </row>
    <row r="12" spans="1:21" s="2" customFormat="1" ht="14.85" customHeight="1" x14ac:dyDescent="0.2">
      <c r="B12" s="614"/>
      <c r="C12" s="617"/>
      <c r="D12" s="608"/>
      <c r="E12" s="611"/>
      <c r="F12" s="611"/>
      <c r="G12" s="611"/>
      <c r="H12" s="611"/>
      <c r="I12" s="611"/>
      <c r="J12" s="611"/>
      <c r="K12" s="611"/>
      <c r="L12" s="611"/>
      <c r="M12" s="611"/>
      <c r="N12" s="611"/>
      <c r="O12" s="620"/>
      <c r="P12" s="614"/>
      <c r="Q12" s="602"/>
      <c r="R12" s="596"/>
      <c r="S12" s="605"/>
    </row>
    <row r="13" spans="1:21" s="2" customFormat="1" ht="14.85" customHeight="1" x14ac:dyDescent="0.2">
      <c r="B13" s="614"/>
      <c r="C13" s="617"/>
      <c r="D13" s="608"/>
      <c r="E13" s="611"/>
      <c r="F13" s="611"/>
      <c r="G13" s="611"/>
      <c r="H13" s="611"/>
      <c r="I13" s="611"/>
      <c r="J13" s="611"/>
      <c r="K13" s="611"/>
      <c r="L13" s="611"/>
      <c r="M13" s="611"/>
      <c r="N13" s="611"/>
      <c r="O13" s="620"/>
      <c r="P13" s="614"/>
      <c r="Q13" s="602"/>
      <c r="R13" s="596"/>
      <c r="S13" s="605"/>
    </row>
    <row r="14" spans="1:21" ht="14.85" customHeight="1" thickBot="1" x14ac:dyDescent="0.3">
      <c r="B14" s="615"/>
      <c r="C14" s="618"/>
      <c r="D14" s="609"/>
      <c r="E14" s="612"/>
      <c r="F14" s="612"/>
      <c r="G14" s="612"/>
      <c r="H14" s="612"/>
      <c r="I14" s="612"/>
      <c r="J14" s="612"/>
      <c r="K14" s="612"/>
      <c r="L14" s="612"/>
      <c r="M14" s="612"/>
      <c r="N14" s="612"/>
      <c r="O14" s="621"/>
      <c r="P14" s="615"/>
      <c r="Q14" s="603"/>
      <c r="R14" s="597"/>
      <c r="S14" s="606"/>
    </row>
    <row r="15" spans="1:21" x14ac:dyDescent="0.25">
      <c r="B15" s="599">
        <f>ÜLDANDMED!C10</f>
        <v>2022</v>
      </c>
      <c r="C15" s="44" t="s">
        <v>50</v>
      </c>
      <c r="D15" s="195"/>
      <c r="E15" s="196"/>
      <c r="F15" s="196"/>
      <c r="G15" s="196"/>
      <c r="H15" s="195"/>
      <c r="I15" s="196"/>
      <c r="J15" s="196"/>
      <c r="K15" s="196"/>
      <c r="L15" s="195"/>
      <c r="M15" s="196"/>
      <c r="N15" s="196"/>
      <c r="O15" s="196"/>
      <c r="P15" s="72">
        <f>SUM(D15:O15)</f>
        <v>0</v>
      </c>
      <c r="Q15" s="412"/>
      <c r="R15" s="416" t="str">
        <f>IF(Q15="Tallinn",LOOKUP(Q15,'KHG eriheitetegurid'!$C$18,'KHG eriheitetegurid'!$D$18),IF(Q15="Tartu",LOOKUP(Q15,'KHG eriheitetegurid'!$C$27,'KHG eriheitetegurid'!$D$27),IF(Q15="Pärnu",LOOKUP(Q15,'KHG eriheitetegurid'!$C$36,'KHG eriheitetegurid'!$D$36),IF(OR(Q15="Muu",Q15=""),""))))</f>
        <v/>
      </c>
      <c r="S15" s="413"/>
      <c r="U15" s="49"/>
    </row>
    <row r="16" spans="1:21" ht="16.5" thickBot="1" x14ac:dyDescent="0.3">
      <c r="B16" s="600"/>
      <c r="C16" s="48" t="s">
        <v>52</v>
      </c>
      <c r="D16" s="198" t="e">
        <f t="shared" ref="D16:O16" si="0">D15/c_2022</f>
        <v>#DIV/0!</v>
      </c>
      <c r="E16" s="198" t="e">
        <f t="shared" si="0"/>
        <v>#DIV/0!</v>
      </c>
      <c r="F16" s="198" t="e">
        <f t="shared" si="0"/>
        <v>#DIV/0!</v>
      </c>
      <c r="G16" s="198" t="e">
        <f t="shared" si="0"/>
        <v>#DIV/0!</v>
      </c>
      <c r="H16" s="198" t="e">
        <f t="shared" si="0"/>
        <v>#DIV/0!</v>
      </c>
      <c r="I16" s="198" t="e">
        <f t="shared" si="0"/>
        <v>#DIV/0!</v>
      </c>
      <c r="J16" s="198" t="e">
        <f t="shared" si="0"/>
        <v>#DIV/0!</v>
      </c>
      <c r="K16" s="198" t="e">
        <f t="shared" si="0"/>
        <v>#DIV/0!</v>
      </c>
      <c r="L16" s="198" t="e">
        <f t="shared" si="0"/>
        <v>#DIV/0!</v>
      </c>
      <c r="M16" s="198" t="e">
        <f t="shared" si="0"/>
        <v>#DIV/0!</v>
      </c>
      <c r="N16" s="198" t="e">
        <f t="shared" si="0"/>
        <v>#DIV/0!</v>
      </c>
      <c r="O16" s="198" t="e">
        <f t="shared" si="0"/>
        <v>#DIV/0!</v>
      </c>
      <c r="P16" s="74" t="e">
        <f>SUM(D16:O16)</f>
        <v>#DIV/0!</v>
      </c>
      <c r="Q16" s="200"/>
      <c r="R16" s="202"/>
      <c r="S16" s="414"/>
    </row>
    <row r="17" spans="2:19" x14ac:dyDescent="0.25">
      <c r="B17" s="599">
        <f>ÜLDANDMED!D10</f>
        <v>2023</v>
      </c>
      <c r="C17" s="44" t="s">
        <v>50</v>
      </c>
      <c r="D17" s="195"/>
      <c r="E17" s="196"/>
      <c r="F17" s="196"/>
      <c r="G17" s="196"/>
      <c r="H17" s="195"/>
      <c r="I17" s="196"/>
      <c r="J17" s="196"/>
      <c r="K17" s="196"/>
      <c r="L17" s="195"/>
      <c r="M17" s="196"/>
      <c r="N17" s="196"/>
      <c r="O17" s="196"/>
      <c r="P17" s="72">
        <f t="shared" ref="P17:P26" si="1">SUM(D17:O17)</f>
        <v>0</v>
      </c>
      <c r="Q17" s="412"/>
      <c r="R17" s="416" t="str">
        <f>IF(Q17="Tallinn",LOOKUP(Q17,'KHG eriheitetegurid'!$C$19,'KHG eriheitetegurid'!$D$19),IF(Q17="Tartu",LOOKUP(Q17,'KHG eriheitetegurid'!$C$28,'KHG eriheitetegurid'!$D$28),IF(Q17="Pärnu",LOOKUP(Q17,'KHG eriheitetegurid'!$C$37,'KHG eriheitetegurid'!$D$37),IF(OR(Q17="Muu",Q17=""),""))))</f>
        <v/>
      </c>
      <c r="S17" s="413"/>
    </row>
    <row r="18" spans="2:19" ht="16.5" thickBot="1" x14ac:dyDescent="0.3">
      <c r="B18" s="600"/>
      <c r="C18" s="48" t="s">
        <v>52</v>
      </c>
      <c r="D18" s="198" t="e">
        <f t="shared" ref="D18:O18" si="2">D17/c_2023</f>
        <v>#DIV/0!</v>
      </c>
      <c r="E18" s="198" t="e">
        <f t="shared" si="2"/>
        <v>#DIV/0!</v>
      </c>
      <c r="F18" s="198" t="e">
        <f t="shared" si="2"/>
        <v>#DIV/0!</v>
      </c>
      <c r="G18" s="198" t="e">
        <f t="shared" si="2"/>
        <v>#DIV/0!</v>
      </c>
      <c r="H18" s="198" t="e">
        <f t="shared" si="2"/>
        <v>#DIV/0!</v>
      </c>
      <c r="I18" s="198" t="e">
        <f t="shared" si="2"/>
        <v>#DIV/0!</v>
      </c>
      <c r="J18" s="198" t="e">
        <f t="shared" si="2"/>
        <v>#DIV/0!</v>
      </c>
      <c r="K18" s="198" t="e">
        <f t="shared" si="2"/>
        <v>#DIV/0!</v>
      </c>
      <c r="L18" s="198" t="e">
        <f t="shared" si="2"/>
        <v>#DIV/0!</v>
      </c>
      <c r="M18" s="198" t="e">
        <f t="shared" si="2"/>
        <v>#DIV/0!</v>
      </c>
      <c r="N18" s="198" t="e">
        <f t="shared" si="2"/>
        <v>#DIV/0!</v>
      </c>
      <c r="O18" s="198" t="e">
        <f t="shared" si="2"/>
        <v>#DIV/0!</v>
      </c>
      <c r="P18" s="74" t="e">
        <f t="shared" si="1"/>
        <v>#DIV/0!</v>
      </c>
      <c r="Q18" s="200"/>
      <c r="R18" s="202"/>
      <c r="S18" s="414"/>
    </row>
    <row r="19" spans="2:19" x14ac:dyDescent="0.25">
      <c r="B19" s="599">
        <f>ÜLDANDMED!E10</f>
        <v>2024</v>
      </c>
      <c r="C19" s="44" t="s">
        <v>50</v>
      </c>
      <c r="D19" s="195"/>
      <c r="E19" s="196"/>
      <c r="F19" s="196"/>
      <c r="G19" s="196"/>
      <c r="H19" s="195"/>
      <c r="I19" s="196"/>
      <c r="J19" s="196"/>
      <c r="K19" s="196"/>
      <c r="L19" s="195"/>
      <c r="M19" s="196"/>
      <c r="N19" s="196"/>
      <c r="O19" s="196"/>
      <c r="P19" s="72">
        <f t="shared" si="1"/>
        <v>0</v>
      </c>
      <c r="Q19" s="412"/>
      <c r="R19" s="416" t="str">
        <f>IF(Q19="Tallinn",LOOKUP(Q19,'KHG eriheitetegurid'!$C$20,'KHG eriheitetegurid'!$D$20),IF(Q19="Tartu",LOOKUP(Q19,'KHG eriheitetegurid'!$C$29,'KHG eriheitetegurid'!$D$29),IF(Q19="Pärnu",LOOKUP(Q19,'KHG eriheitetegurid'!$C$38,'KHG eriheitetegurid'!$D$38),IF(OR(Q19="Muu",Q19=""),""))))</f>
        <v/>
      </c>
      <c r="S19" s="415"/>
    </row>
    <row r="20" spans="2:19" ht="16.5" thickBot="1" x14ac:dyDescent="0.3">
      <c r="B20" s="600"/>
      <c r="C20" s="48" t="s">
        <v>52</v>
      </c>
      <c r="D20" s="198" t="e">
        <f t="shared" ref="D20:O20" si="3">D19/c_2024</f>
        <v>#DIV/0!</v>
      </c>
      <c r="E20" s="198" t="e">
        <f t="shared" si="3"/>
        <v>#DIV/0!</v>
      </c>
      <c r="F20" s="198" t="e">
        <f t="shared" si="3"/>
        <v>#DIV/0!</v>
      </c>
      <c r="G20" s="198" t="e">
        <f t="shared" si="3"/>
        <v>#DIV/0!</v>
      </c>
      <c r="H20" s="198" t="e">
        <f t="shared" si="3"/>
        <v>#DIV/0!</v>
      </c>
      <c r="I20" s="198" t="e">
        <f t="shared" si="3"/>
        <v>#DIV/0!</v>
      </c>
      <c r="J20" s="198" t="e">
        <f t="shared" si="3"/>
        <v>#DIV/0!</v>
      </c>
      <c r="K20" s="198" t="e">
        <f t="shared" si="3"/>
        <v>#DIV/0!</v>
      </c>
      <c r="L20" s="198" t="e">
        <f t="shared" si="3"/>
        <v>#DIV/0!</v>
      </c>
      <c r="M20" s="198" t="e">
        <f t="shared" si="3"/>
        <v>#DIV/0!</v>
      </c>
      <c r="N20" s="198" t="e">
        <f t="shared" si="3"/>
        <v>#DIV/0!</v>
      </c>
      <c r="O20" s="198" t="e">
        <f t="shared" si="3"/>
        <v>#DIV/0!</v>
      </c>
      <c r="P20" s="74" t="e">
        <f t="shared" si="1"/>
        <v>#DIV/0!</v>
      </c>
      <c r="Q20" s="200"/>
      <c r="R20" s="202"/>
      <c r="S20" s="414"/>
    </row>
    <row r="21" spans="2:19" x14ac:dyDescent="0.25">
      <c r="B21" s="599">
        <f>ÜLDANDMED!F10</f>
        <v>2025</v>
      </c>
      <c r="C21" s="44" t="s">
        <v>50</v>
      </c>
      <c r="D21" s="195"/>
      <c r="E21" s="196"/>
      <c r="F21" s="196"/>
      <c r="G21" s="196"/>
      <c r="H21" s="195"/>
      <c r="I21" s="196"/>
      <c r="J21" s="196"/>
      <c r="K21" s="196"/>
      <c r="L21" s="195"/>
      <c r="M21" s="196"/>
      <c r="N21" s="196"/>
      <c r="O21" s="196"/>
      <c r="P21" s="72">
        <f t="shared" si="1"/>
        <v>0</v>
      </c>
      <c r="Q21" s="412"/>
      <c r="R21" s="416" t="str">
        <f>IF(Q21="Tallinn",LOOKUP(Q21,'KHG eriheitetegurid'!$C$21,'KHG eriheitetegurid'!$D$21),IF(Q21="Tartu",LOOKUP(Q21,'KHG eriheitetegurid'!$C$30,'KHG eriheitetegurid'!$D$30),IF(Q21="Pärnu",LOOKUP(Q21,'KHG eriheitetegurid'!$C$39,'KHG eriheitetegurid'!$D$39),IF(OR(Q21="Muu",Q21=""),""))))</f>
        <v/>
      </c>
      <c r="S21" s="413"/>
    </row>
    <row r="22" spans="2:19" ht="16.5" thickBot="1" x14ac:dyDescent="0.3">
      <c r="B22" s="600"/>
      <c r="C22" s="48" t="s">
        <v>52</v>
      </c>
      <c r="D22" s="198" t="e">
        <f t="shared" ref="D22:O22" si="4">D21/c_2025</f>
        <v>#DIV/0!</v>
      </c>
      <c r="E22" s="198" t="e">
        <f t="shared" si="4"/>
        <v>#DIV/0!</v>
      </c>
      <c r="F22" s="198" t="e">
        <f t="shared" si="4"/>
        <v>#DIV/0!</v>
      </c>
      <c r="G22" s="198" t="e">
        <f t="shared" si="4"/>
        <v>#DIV/0!</v>
      </c>
      <c r="H22" s="198" t="e">
        <f t="shared" si="4"/>
        <v>#DIV/0!</v>
      </c>
      <c r="I22" s="198" t="e">
        <f t="shared" si="4"/>
        <v>#DIV/0!</v>
      </c>
      <c r="J22" s="198" t="e">
        <f t="shared" si="4"/>
        <v>#DIV/0!</v>
      </c>
      <c r="K22" s="198" t="e">
        <f t="shared" si="4"/>
        <v>#DIV/0!</v>
      </c>
      <c r="L22" s="198" t="e">
        <f t="shared" si="4"/>
        <v>#DIV/0!</v>
      </c>
      <c r="M22" s="198" t="e">
        <f t="shared" si="4"/>
        <v>#DIV/0!</v>
      </c>
      <c r="N22" s="198" t="e">
        <f t="shared" si="4"/>
        <v>#DIV/0!</v>
      </c>
      <c r="O22" s="198" t="e">
        <f t="shared" si="4"/>
        <v>#DIV/0!</v>
      </c>
      <c r="P22" s="74" t="e">
        <f t="shared" si="1"/>
        <v>#DIV/0!</v>
      </c>
      <c r="Q22" s="200"/>
      <c r="R22" s="202"/>
      <c r="S22" s="414"/>
    </row>
    <row r="23" spans="2:19" x14ac:dyDescent="0.25">
      <c r="B23" s="599">
        <f>ÜLDANDMED!G10</f>
        <v>2026</v>
      </c>
      <c r="C23" s="44" t="s">
        <v>50</v>
      </c>
      <c r="D23" s="195"/>
      <c r="E23" s="196"/>
      <c r="F23" s="196"/>
      <c r="G23" s="196"/>
      <c r="H23" s="195"/>
      <c r="I23" s="196"/>
      <c r="J23" s="196"/>
      <c r="K23" s="196"/>
      <c r="L23" s="195"/>
      <c r="M23" s="196"/>
      <c r="N23" s="196"/>
      <c r="O23" s="196"/>
      <c r="P23" s="72">
        <f t="shared" si="1"/>
        <v>0</v>
      </c>
      <c r="Q23" s="412"/>
      <c r="R23" s="416" t="str">
        <f>IF(Q23="Tallinn",LOOKUP(Q23,'KHG eriheitetegurid'!$C$22,'KHG eriheitetegurid'!$D$22),IF(Q23="Tartu",LOOKUP(Q23,'KHG eriheitetegurid'!$C$31,'KHG eriheitetegurid'!$D$31),IF(Q23="Pärnu",LOOKUP(Q23,'KHG eriheitetegurid'!$C$40,'KHG eriheitetegurid'!$D$40),IF(OR(Q23="Muu",Q23=""),""))))</f>
        <v/>
      </c>
      <c r="S23" s="415"/>
    </row>
    <row r="24" spans="2:19" ht="16.5" thickBot="1" x14ac:dyDescent="0.3">
      <c r="B24" s="600"/>
      <c r="C24" s="48" t="s">
        <v>52</v>
      </c>
      <c r="D24" s="198" t="e">
        <f t="shared" ref="D24:O24" si="5">D23/c_2026</f>
        <v>#DIV/0!</v>
      </c>
      <c r="E24" s="198" t="e">
        <f t="shared" si="5"/>
        <v>#DIV/0!</v>
      </c>
      <c r="F24" s="198" t="e">
        <f t="shared" si="5"/>
        <v>#DIV/0!</v>
      </c>
      <c r="G24" s="198" t="e">
        <f t="shared" si="5"/>
        <v>#DIV/0!</v>
      </c>
      <c r="H24" s="198" t="e">
        <f t="shared" si="5"/>
        <v>#DIV/0!</v>
      </c>
      <c r="I24" s="198" t="e">
        <f t="shared" si="5"/>
        <v>#DIV/0!</v>
      </c>
      <c r="J24" s="198" t="e">
        <f t="shared" si="5"/>
        <v>#DIV/0!</v>
      </c>
      <c r="K24" s="198" t="e">
        <f t="shared" si="5"/>
        <v>#DIV/0!</v>
      </c>
      <c r="L24" s="198" t="e">
        <f t="shared" si="5"/>
        <v>#DIV/0!</v>
      </c>
      <c r="M24" s="198" t="e">
        <f t="shared" si="5"/>
        <v>#DIV/0!</v>
      </c>
      <c r="N24" s="198" t="e">
        <f t="shared" si="5"/>
        <v>#DIV/0!</v>
      </c>
      <c r="O24" s="198" t="e">
        <f t="shared" si="5"/>
        <v>#DIV/0!</v>
      </c>
      <c r="P24" s="74" t="e">
        <f t="shared" si="1"/>
        <v>#DIV/0!</v>
      </c>
      <c r="Q24" s="200"/>
      <c r="R24" s="202"/>
      <c r="S24" s="414"/>
    </row>
    <row r="25" spans="2:19" x14ac:dyDescent="0.25">
      <c r="B25" s="599">
        <f>ÜLDANDMED!H10</f>
        <v>2027</v>
      </c>
      <c r="C25" s="44" t="s">
        <v>50</v>
      </c>
      <c r="D25" s="195"/>
      <c r="E25" s="196"/>
      <c r="F25" s="196"/>
      <c r="G25" s="196"/>
      <c r="H25" s="195"/>
      <c r="I25" s="196"/>
      <c r="J25" s="196"/>
      <c r="K25" s="196"/>
      <c r="L25" s="195"/>
      <c r="M25" s="196"/>
      <c r="N25" s="196"/>
      <c r="O25" s="196"/>
      <c r="P25" s="72">
        <f t="shared" si="1"/>
        <v>0</v>
      </c>
      <c r="Q25" s="412"/>
      <c r="R25" s="416" t="str">
        <f>IF(Q25="Tallinn",LOOKUP(Q25,'KHG eriheitetegurid'!$C$23,'KHG eriheitetegurid'!$D$23),IF(Q25="Tartu",LOOKUP(Q25,'KHG eriheitetegurid'!$C$32,'KHG eriheitetegurid'!$D$32),IF(Q25="Pärnu",LOOKUP(Q25,'KHG eriheitetegurid'!$C$41,'KHG eriheitetegurid'!$D$41),IF(OR(Q25="Muu",Q25=""),""))))</f>
        <v/>
      </c>
      <c r="S25" s="413"/>
    </row>
    <row r="26" spans="2:19" ht="16.5" thickBot="1" x14ac:dyDescent="0.3">
      <c r="B26" s="600"/>
      <c r="C26" s="48" t="s">
        <v>52</v>
      </c>
      <c r="D26" s="198" t="e">
        <f t="shared" ref="D26:O26" si="6">D25/c_2027</f>
        <v>#DIV/0!</v>
      </c>
      <c r="E26" s="198" t="e">
        <f t="shared" si="6"/>
        <v>#DIV/0!</v>
      </c>
      <c r="F26" s="198" t="e">
        <f t="shared" si="6"/>
        <v>#DIV/0!</v>
      </c>
      <c r="G26" s="198" t="e">
        <f t="shared" si="6"/>
        <v>#DIV/0!</v>
      </c>
      <c r="H26" s="198" t="e">
        <f t="shared" si="6"/>
        <v>#DIV/0!</v>
      </c>
      <c r="I26" s="198" t="e">
        <f t="shared" si="6"/>
        <v>#DIV/0!</v>
      </c>
      <c r="J26" s="198" t="e">
        <f t="shared" si="6"/>
        <v>#DIV/0!</v>
      </c>
      <c r="K26" s="198" t="e">
        <f t="shared" si="6"/>
        <v>#DIV/0!</v>
      </c>
      <c r="L26" s="198" t="e">
        <f t="shared" si="6"/>
        <v>#DIV/0!</v>
      </c>
      <c r="M26" s="198" t="e">
        <f t="shared" si="6"/>
        <v>#DIV/0!</v>
      </c>
      <c r="N26" s="198" t="e">
        <f t="shared" si="6"/>
        <v>#DIV/0!</v>
      </c>
      <c r="O26" s="198" t="e">
        <f t="shared" si="6"/>
        <v>#DIV/0!</v>
      </c>
      <c r="P26" s="74" t="e">
        <f t="shared" si="1"/>
        <v>#DIV/0!</v>
      </c>
      <c r="Q26" s="200"/>
      <c r="R26" s="202"/>
      <c r="S26" s="414"/>
    </row>
    <row r="27" spans="2:19" x14ac:dyDescent="0.25">
      <c r="B27" s="599">
        <f>ÜLDANDMED!I10</f>
        <v>2028</v>
      </c>
      <c r="C27" s="44" t="s">
        <v>50</v>
      </c>
      <c r="D27" s="195"/>
      <c r="E27" s="196"/>
      <c r="F27" s="196"/>
      <c r="G27" s="196"/>
      <c r="H27" s="195"/>
      <c r="I27" s="196"/>
      <c r="J27" s="196"/>
      <c r="K27" s="196"/>
      <c r="L27" s="195"/>
      <c r="M27" s="196"/>
      <c r="N27" s="196"/>
      <c r="O27" s="196"/>
      <c r="P27" s="73">
        <f t="shared" ref="P27:P28" si="7">SUM(D27:O27)</f>
        <v>0</v>
      </c>
      <c r="Q27" s="412"/>
      <c r="R27" s="416" t="str">
        <f>IF(Q27="Tallinn",LOOKUP(Q27,'KHG eriheitetegurid'!$C$24,'KHG eriheitetegurid'!$D$24),IF(Q27="Tartu",LOOKUP(Q27,'KHG eriheitetegurid'!$C$33,'KHG eriheitetegurid'!$D$33),IF(Q27="Pärnu",LOOKUP(Q27,'KHG eriheitetegurid'!$C$42,'KHG eriheitetegurid'!$D$42),IF(OR(Q27="Muu",Q27=""),""))))</f>
        <v/>
      </c>
      <c r="S27" s="415"/>
    </row>
    <row r="28" spans="2:19" ht="16.5" thickBot="1" x14ac:dyDescent="0.3">
      <c r="B28" s="600"/>
      <c r="C28" s="48" t="s">
        <v>52</v>
      </c>
      <c r="D28" s="198" t="e">
        <f t="shared" ref="D28:O28" si="8">D27/c_2028</f>
        <v>#DIV/0!</v>
      </c>
      <c r="E28" s="198" t="e">
        <f t="shared" si="8"/>
        <v>#DIV/0!</v>
      </c>
      <c r="F28" s="198" t="e">
        <f t="shared" si="8"/>
        <v>#DIV/0!</v>
      </c>
      <c r="G28" s="198" t="e">
        <f t="shared" si="8"/>
        <v>#DIV/0!</v>
      </c>
      <c r="H28" s="198" t="e">
        <f t="shared" si="8"/>
        <v>#DIV/0!</v>
      </c>
      <c r="I28" s="198" t="e">
        <f t="shared" si="8"/>
        <v>#DIV/0!</v>
      </c>
      <c r="J28" s="198" t="e">
        <f t="shared" si="8"/>
        <v>#DIV/0!</v>
      </c>
      <c r="K28" s="198" t="e">
        <f t="shared" si="8"/>
        <v>#DIV/0!</v>
      </c>
      <c r="L28" s="198" t="e">
        <f t="shared" si="8"/>
        <v>#DIV/0!</v>
      </c>
      <c r="M28" s="198" t="e">
        <f t="shared" si="8"/>
        <v>#DIV/0!</v>
      </c>
      <c r="N28" s="198" t="e">
        <f t="shared" si="8"/>
        <v>#DIV/0!</v>
      </c>
      <c r="O28" s="198" t="e">
        <f t="shared" si="8"/>
        <v>#DIV/0!</v>
      </c>
      <c r="P28" s="74" t="e">
        <f t="shared" si="7"/>
        <v>#DIV/0!</v>
      </c>
      <c r="Q28" s="200"/>
      <c r="R28" s="202"/>
      <c r="S28" s="414"/>
    </row>
    <row r="31" spans="2:19" x14ac:dyDescent="0.25">
      <c r="N31"/>
      <c r="O31"/>
      <c r="P31"/>
    </row>
    <row r="32" spans="2:19" x14ac:dyDescent="0.25">
      <c r="N32"/>
      <c r="O32"/>
      <c r="P32"/>
      <c r="Q32"/>
    </row>
    <row r="33" spans="14:17" x14ac:dyDescent="0.25">
      <c r="N33"/>
      <c r="O33"/>
      <c r="P33"/>
      <c r="Q33"/>
    </row>
    <row r="34" spans="14:17" x14ac:dyDescent="0.25">
      <c r="N34"/>
      <c r="O34"/>
      <c r="P34"/>
      <c r="Q34"/>
    </row>
    <row r="35" spans="14:17" x14ac:dyDescent="0.25">
      <c r="N35"/>
      <c r="O35"/>
      <c r="P35"/>
      <c r="Q35"/>
    </row>
    <row r="36" spans="14:17" x14ac:dyDescent="0.25">
      <c r="N36"/>
      <c r="O36"/>
      <c r="P36"/>
      <c r="Q36"/>
    </row>
    <row r="37" spans="14:17" x14ac:dyDescent="0.25">
      <c r="N37"/>
      <c r="O37"/>
      <c r="P37"/>
      <c r="Q37"/>
    </row>
    <row r="38" spans="14:17" x14ac:dyDescent="0.25">
      <c r="N38"/>
      <c r="O38" s="418"/>
      <c r="P38"/>
      <c r="Q38"/>
    </row>
    <row r="39" spans="14:17" x14ac:dyDescent="0.25">
      <c r="N39"/>
      <c r="O39"/>
      <c r="P39"/>
      <c r="Q39"/>
    </row>
    <row r="40" spans="14:17" x14ac:dyDescent="0.25">
      <c r="N40"/>
      <c r="O40"/>
      <c r="P40"/>
      <c r="Q40"/>
    </row>
    <row r="41" spans="14:17" x14ac:dyDescent="0.25">
      <c r="N41"/>
      <c r="O41"/>
      <c r="P41"/>
      <c r="Q41"/>
    </row>
    <row r="42" spans="14:17" x14ac:dyDescent="0.25">
      <c r="N42"/>
      <c r="O42"/>
      <c r="P42"/>
      <c r="Q42"/>
    </row>
    <row r="43" spans="14:17" x14ac:dyDescent="0.25">
      <c r="N43"/>
      <c r="O43"/>
      <c r="P43"/>
      <c r="Q43"/>
    </row>
    <row r="44" spans="14:17" x14ac:dyDescent="0.25">
      <c r="N44"/>
      <c r="O44"/>
      <c r="P44"/>
      <c r="Q44"/>
    </row>
    <row r="45" spans="14:17" x14ac:dyDescent="0.25">
      <c r="N45"/>
      <c r="O45"/>
      <c r="P45"/>
    </row>
    <row r="46" spans="14:17" x14ac:dyDescent="0.25">
      <c r="N46"/>
      <c r="O46"/>
      <c r="P46"/>
    </row>
    <row r="47" spans="14:17" x14ac:dyDescent="0.25">
      <c r="N47"/>
      <c r="O47"/>
      <c r="P47"/>
    </row>
    <row r="48" spans="14:17" x14ac:dyDescent="0.25">
      <c r="N48"/>
      <c r="O48"/>
      <c r="P48"/>
    </row>
    <row r="49" spans="14:16" x14ac:dyDescent="0.25">
      <c r="N49"/>
      <c r="O49"/>
      <c r="P49"/>
    </row>
    <row r="50" spans="14:16" x14ac:dyDescent="0.25">
      <c r="O50" s="63"/>
      <c r="P50"/>
    </row>
    <row r="51" spans="14:16" x14ac:dyDescent="0.25">
      <c r="O51" s="63"/>
      <c r="P51"/>
    </row>
    <row r="52" spans="14:16" x14ac:dyDescent="0.25">
      <c r="O52" s="63"/>
      <c r="P52"/>
    </row>
    <row r="53" spans="14:16" x14ac:dyDescent="0.25">
      <c r="O53" s="63"/>
      <c r="P53"/>
    </row>
    <row r="54" spans="14:16" x14ac:dyDescent="0.25">
      <c r="O54" s="63"/>
      <c r="P54"/>
    </row>
    <row r="55" spans="14:16" x14ac:dyDescent="0.25">
      <c r="O55" s="63"/>
      <c r="P55"/>
    </row>
  </sheetData>
  <mergeCells count="28">
    <mergeCell ref="B27:B28"/>
    <mergeCell ref="O11:O14"/>
    <mergeCell ref="M11:M14"/>
    <mergeCell ref="L11:L14"/>
    <mergeCell ref="K11:K14"/>
    <mergeCell ref="J11:J14"/>
    <mergeCell ref="I11:I14"/>
    <mergeCell ref="H11:H14"/>
    <mergeCell ref="G11:G14"/>
    <mergeCell ref="N11:N14"/>
    <mergeCell ref="F11:F14"/>
    <mergeCell ref="B11:B14"/>
    <mergeCell ref="B23:B24"/>
    <mergeCell ref="B17:B18"/>
    <mergeCell ref="B19:B20"/>
    <mergeCell ref="B21:B22"/>
    <mergeCell ref="R11:R14"/>
    <mergeCell ref="B3:P3"/>
    <mergeCell ref="B5:C5"/>
    <mergeCell ref="Q10:S10"/>
    <mergeCell ref="B25:B26"/>
    <mergeCell ref="Q11:Q14"/>
    <mergeCell ref="S11:S14"/>
    <mergeCell ref="D11:D14"/>
    <mergeCell ref="E11:E14"/>
    <mergeCell ref="B15:B16"/>
    <mergeCell ref="P11:P14"/>
    <mergeCell ref="C11:C14"/>
  </mergeCells>
  <conditionalFormatting sqref="R15:R28">
    <cfRule type="expression" dxfId="1" priority="4">
      <formula>$Q15="Muu"</formula>
    </cfRule>
    <cfRule type="expression" dxfId="0" priority="5">
      <formula>OR($Q15="Tallinn",$Q15="Tartu",$Q15="Pärnu")</formula>
    </cfRule>
  </conditionalFormatting>
  <dataValidations count="1">
    <dataValidation type="list" allowBlank="1" showInputMessage="1" showErrorMessage="1" sqref="N36 N38 N40 N42 N44 N46 N48" xr:uid="{C41EDBC2-358B-4803-A2E7-32F6802E647F}">
      <formula1>$N$53:$N$55</formula1>
    </dataValidation>
  </dataValidations>
  <pageMargins left="0.70866141732283472" right="0.70866141732283472" top="0.74803149606299213" bottom="0.74803149606299213" header="0.31496062992125984" footer="0.31496062992125984"/>
  <pageSetup paperSize="9" scale="38" fitToHeight="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9D48D-A95C-48A8-8C5F-29E61727DC94}">
          <x14:formula1>
            <xm:f>'KHG eriheitetegurid'!$B$388:$B$392</xm:f>
          </x14:formula1>
          <xm:sqref>S15 P48 P46 S21 S19 S25 S17 S23 S27</xm:sqref>
        </x14:dataValidation>
        <x14:dataValidation type="list" allowBlank="1" showInputMessage="1" showErrorMessage="1" xr:uid="{08618C39-11C9-4598-8057-245E205969CF}">
          <x14:formula1>
            <xm:f>'KHG eriheitetegurid'!$B$382:$B$385</xm:f>
          </x14:formula1>
          <xm:sqref>Q15 Q27 Q25 Q23 Q21 Q19 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R24"/>
  <sheetViews>
    <sheetView showGridLines="0" zoomScaleNormal="100" workbookViewId="0">
      <pane xSplit="1" ySplit="1" topLeftCell="B2" activePane="bottomRight" state="frozen"/>
      <selection pane="topRight" activeCell="B1" sqref="B1"/>
      <selection pane="bottomLeft" activeCell="A3" sqref="A3"/>
      <selection pane="bottomRight" activeCell="D12" sqref="D12"/>
    </sheetView>
  </sheetViews>
  <sheetFormatPr defaultColWidth="9.42578125" defaultRowHeight="14.85" customHeight="1" x14ac:dyDescent="0.25"/>
  <cols>
    <col min="1" max="1" width="2.5703125" customWidth="1"/>
    <col min="2" max="2" width="7.5703125" customWidth="1"/>
    <col min="3" max="3" width="38.5703125" customWidth="1"/>
    <col min="4" max="15" width="10.5703125" style="11" customWidth="1"/>
    <col min="16" max="16" width="15.5703125" style="3" customWidth="1"/>
    <col min="18" max="18" width="13.5703125" customWidth="1"/>
  </cols>
  <sheetData>
    <row r="1" spans="1:18" ht="18.600000000000001" customHeight="1" x14ac:dyDescent="0.3">
      <c r="B1" s="32" t="s">
        <v>53</v>
      </c>
      <c r="C1" s="121"/>
      <c r="F1" s="29"/>
    </row>
    <row r="2" spans="1:18" ht="14.85" customHeight="1" x14ac:dyDescent="0.25">
      <c r="A2" s="1"/>
      <c r="B2" s="1"/>
      <c r="C2" s="121"/>
      <c r="F2" s="29"/>
      <c r="R2" s="4"/>
    </row>
    <row r="3" spans="1:18" ht="110.85" customHeight="1" x14ac:dyDescent="0.25">
      <c r="A3" s="1"/>
      <c r="B3" s="569" t="s">
        <v>54</v>
      </c>
      <c r="C3" s="579"/>
      <c r="D3" s="579"/>
      <c r="E3" s="579"/>
      <c r="F3" s="579"/>
      <c r="G3" s="579"/>
      <c r="H3" s="579"/>
      <c r="I3" s="579"/>
      <c r="J3" s="579"/>
      <c r="K3" s="579"/>
      <c r="L3" s="579"/>
      <c r="M3" s="579"/>
      <c r="N3" s="579"/>
      <c r="O3" s="579"/>
      <c r="P3" s="580"/>
      <c r="R3" s="4"/>
    </row>
    <row r="4" spans="1:18" ht="14.85" customHeight="1" x14ac:dyDescent="0.25">
      <c r="A4" s="1"/>
      <c r="B4" s="37"/>
      <c r="C4" s="37"/>
      <c r="D4" s="37"/>
      <c r="E4" s="37"/>
      <c r="F4" s="37"/>
      <c r="G4" s="37"/>
      <c r="H4" s="37"/>
      <c r="R4" s="4"/>
    </row>
    <row r="5" spans="1:18" ht="14.85" customHeight="1" x14ac:dyDescent="0.25">
      <c r="A5" s="1"/>
      <c r="B5" s="589" t="s">
        <v>8</v>
      </c>
      <c r="C5" s="622"/>
      <c r="D5" s="34"/>
      <c r="E5" s="34"/>
      <c r="F5" s="34"/>
      <c r="R5" s="4"/>
    </row>
    <row r="6" spans="1:18" ht="14.85" customHeight="1" x14ac:dyDescent="0.25">
      <c r="A6" s="1"/>
      <c r="B6" s="146"/>
      <c r="C6" s="166" t="s">
        <v>55</v>
      </c>
      <c r="D6" s="34"/>
      <c r="E6" s="34"/>
      <c r="R6" s="4"/>
    </row>
    <row r="7" spans="1:18" ht="14.85" customHeight="1" x14ac:dyDescent="0.25">
      <c r="A7" s="1"/>
      <c r="C7" s="145" t="s">
        <v>10</v>
      </c>
      <c r="D7" s="34"/>
      <c r="E7" s="34"/>
      <c r="F7" s="34"/>
      <c r="R7" s="4"/>
    </row>
    <row r="8" spans="1:18" ht="14.85" customHeight="1" thickBot="1" x14ac:dyDescent="0.35">
      <c r="A8" s="7"/>
      <c r="B8" s="7"/>
      <c r="C8" s="7"/>
      <c r="D8" s="12"/>
      <c r="F8" s="53"/>
      <c r="G8" s="54"/>
      <c r="R8" s="25"/>
    </row>
    <row r="9" spans="1:18" ht="14.85" customHeight="1" x14ac:dyDescent="0.25">
      <c r="A9" s="7"/>
      <c r="B9" s="626" t="s">
        <v>21</v>
      </c>
      <c r="C9" s="583" t="s">
        <v>22</v>
      </c>
      <c r="D9" s="627" t="s">
        <v>23</v>
      </c>
      <c r="E9" s="610" t="s">
        <v>24</v>
      </c>
      <c r="F9" s="610" t="s">
        <v>25</v>
      </c>
      <c r="G9" s="610" t="s">
        <v>26</v>
      </c>
      <c r="H9" s="610" t="s">
        <v>27</v>
      </c>
      <c r="I9" s="610" t="s">
        <v>28</v>
      </c>
      <c r="J9" s="610" t="s">
        <v>29</v>
      </c>
      <c r="K9" s="610" t="s">
        <v>30</v>
      </c>
      <c r="L9" s="610" t="s">
        <v>31</v>
      </c>
      <c r="M9" s="610" t="s">
        <v>32</v>
      </c>
      <c r="N9" s="610" t="s">
        <v>33</v>
      </c>
      <c r="O9" s="619" t="s">
        <v>34</v>
      </c>
      <c r="P9" s="623" t="s">
        <v>35</v>
      </c>
    </row>
    <row r="10" spans="1:18" ht="14.85" customHeight="1" thickBot="1" x14ac:dyDescent="0.3">
      <c r="A10" s="8"/>
      <c r="B10" s="590"/>
      <c r="C10" s="625"/>
      <c r="D10" s="628"/>
      <c r="E10" s="612"/>
      <c r="F10" s="612"/>
      <c r="G10" s="612"/>
      <c r="H10" s="612"/>
      <c r="I10" s="612"/>
      <c r="J10" s="612"/>
      <c r="K10" s="612"/>
      <c r="L10" s="612"/>
      <c r="M10" s="612"/>
      <c r="N10" s="612"/>
      <c r="O10" s="621"/>
      <c r="P10" s="624"/>
    </row>
    <row r="11" spans="1:18" ht="14.85" customHeight="1" x14ac:dyDescent="0.25">
      <c r="B11" s="378">
        <f>ÜLDANDMED!C10</f>
        <v>2022</v>
      </c>
      <c r="C11" s="382" t="s">
        <v>56</v>
      </c>
      <c r="D11" s="393"/>
      <c r="E11" s="393"/>
      <c r="F11" s="393"/>
      <c r="G11" s="393"/>
      <c r="H11" s="393"/>
      <c r="I11" s="393"/>
      <c r="J11" s="393"/>
      <c r="K11" s="393"/>
      <c r="L11" s="393"/>
      <c r="M11" s="393"/>
      <c r="N11" s="393"/>
      <c r="O11" s="393"/>
      <c r="P11" s="75">
        <f>SUM(D11:O11)</f>
        <v>0</v>
      </c>
      <c r="R11" s="49"/>
    </row>
    <row r="12" spans="1:18" ht="14.85" customHeight="1" thickBot="1" x14ac:dyDescent="0.3">
      <c r="B12" s="379"/>
      <c r="C12" s="391" t="s">
        <v>57</v>
      </c>
      <c r="D12" s="198" t="e">
        <f t="shared" ref="D12:O12" si="0">D11/b_2022</f>
        <v>#DIV/0!</v>
      </c>
      <c r="E12" s="198" t="e">
        <f t="shared" si="0"/>
        <v>#DIV/0!</v>
      </c>
      <c r="F12" s="198" t="e">
        <f t="shared" si="0"/>
        <v>#DIV/0!</v>
      </c>
      <c r="G12" s="198" t="e">
        <f t="shared" si="0"/>
        <v>#DIV/0!</v>
      </c>
      <c r="H12" s="198" t="e">
        <f t="shared" si="0"/>
        <v>#DIV/0!</v>
      </c>
      <c r="I12" s="198" t="e">
        <f t="shared" si="0"/>
        <v>#DIV/0!</v>
      </c>
      <c r="J12" s="198" t="e">
        <f t="shared" si="0"/>
        <v>#DIV/0!</v>
      </c>
      <c r="K12" s="198" t="e">
        <f t="shared" si="0"/>
        <v>#DIV/0!</v>
      </c>
      <c r="L12" s="198" t="e">
        <f t="shared" si="0"/>
        <v>#DIV/0!</v>
      </c>
      <c r="M12" s="198" t="e">
        <f t="shared" si="0"/>
        <v>#DIV/0!</v>
      </c>
      <c r="N12" s="198" t="e">
        <f t="shared" si="0"/>
        <v>#DIV/0!</v>
      </c>
      <c r="O12" s="198" t="e">
        <f t="shared" si="0"/>
        <v>#DIV/0!</v>
      </c>
      <c r="P12" s="76" t="e">
        <f t="shared" ref="P12:P23" si="1">SUM(D12:O12)</f>
        <v>#DIV/0!</v>
      </c>
    </row>
    <row r="13" spans="1:18" ht="14.85" customHeight="1" x14ac:dyDescent="0.25">
      <c r="B13" s="378">
        <f>ÜLDANDMED!D10</f>
        <v>2023</v>
      </c>
      <c r="C13" s="390" t="s">
        <v>56</v>
      </c>
      <c r="D13" s="393"/>
      <c r="E13" s="393"/>
      <c r="F13" s="393"/>
      <c r="G13" s="393"/>
      <c r="H13" s="393"/>
      <c r="I13" s="393"/>
      <c r="J13" s="393"/>
      <c r="K13" s="393"/>
      <c r="L13" s="393"/>
      <c r="M13" s="393"/>
      <c r="N13" s="393"/>
      <c r="O13" s="393"/>
      <c r="P13" s="75">
        <f t="shared" si="1"/>
        <v>0</v>
      </c>
      <c r="R13" s="49"/>
    </row>
    <row r="14" spans="1:18" ht="14.85" customHeight="1" thickBot="1" x14ac:dyDescent="0.3">
      <c r="B14" s="379"/>
      <c r="C14" s="391" t="s">
        <v>57</v>
      </c>
      <c r="D14" s="394" t="e">
        <f t="shared" ref="D14:O14" si="2">D13/b_2023</f>
        <v>#DIV/0!</v>
      </c>
      <c r="E14" s="394" t="e">
        <f t="shared" si="2"/>
        <v>#DIV/0!</v>
      </c>
      <c r="F14" s="394" t="e">
        <f t="shared" si="2"/>
        <v>#DIV/0!</v>
      </c>
      <c r="G14" s="394" t="e">
        <f t="shared" si="2"/>
        <v>#DIV/0!</v>
      </c>
      <c r="H14" s="394" t="e">
        <f t="shared" si="2"/>
        <v>#DIV/0!</v>
      </c>
      <c r="I14" s="394" t="e">
        <f t="shared" si="2"/>
        <v>#DIV/0!</v>
      </c>
      <c r="J14" s="394" t="e">
        <f t="shared" si="2"/>
        <v>#DIV/0!</v>
      </c>
      <c r="K14" s="394" t="e">
        <f t="shared" si="2"/>
        <v>#DIV/0!</v>
      </c>
      <c r="L14" s="394" t="e">
        <f t="shared" si="2"/>
        <v>#DIV/0!</v>
      </c>
      <c r="M14" s="394" t="e">
        <f t="shared" si="2"/>
        <v>#DIV/0!</v>
      </c>
      <c r="N14" s="394" t="e">
        <f t="shared" si="2"/>
        <v>#DIV/0!</v>
      </c>
      <c r="O14" s="394" t="e">
        <f t="shared" si="2"/>
        <v>#DIV/0!</v>
      </c>
      <c r="P14" s="76" t="e">
        <f t="shared" si="1"/>
        <v>#DIV/0!</v>
      </c>
    </row>
    <row r="15" spans="1:18" ht="14.85" customHeight="1" x14ac:dyDescent="0.25">
      <c r="B15" s="378">
        <f>ÜLDANDMED!E10</f>
        <v>2024</v>
      </c>
      <c r="C15" s="382" t="s">
        <v>56</v>
      </c>
      <c r="D15" s="393"/>
      <c r="E15" s="393"/>
      <c r="F15" s="393"/>
      <c r="G15" s="393"/>
      <c r="H15" s="393"/>
      <c r="I15" s="393"/>
      <c r="J15" s="393"/>
      <c r="K15" s="393"/>
      <c r="L15" s="393"/>
      <c r="M15" s="393"/>
      <c r="N15" s="393"/>
      <c r="O15" s="393"/>
      <c r="P15" s="396">
        <f t="shared" si="1"/>
        <v>0</v>
      </c>
      <c r="R15" s="49"/>
    </row>
    <row r="16" spans="1:18" ht="14.85" customHeight="1" thickBot="1" x14ac:dyDescent="0.3">
      <c r="B16" s="379"/>
      <c r="C16" s="391" t="s">
        <v>57</v>
      </c>
      <c r="D16" s="198" t="e">
        <f t="shared" ref="D16:O16" si="3">D15/b_2024</f>
        <v>#DIV/0!</v>
      </c>
      <c r="E16" s="198" t="e">
        <f t="shared" si="3"/>
        <v>#DIV/0!</v>
      </c>
      <c r="F16" s="198" t="e">
        <f t="shared" si="3"/>
        <v>#DIV/0!</v>
      </c>
      <c r="G16" s="198" t="e">
        <f t="shared" si="3"/>
        <v>#DIV/0!</v>
      </c>
      <c r="H16" s="198" t="e">
        <f t="shared" si="3"/>
        <v>#DIV/0!</v>
      </c>
      <c r="I16" s="198" t="e">
        <f t="shared" si="3"/>
        <v>#DIV/0!</v>
      </c>
      <c r="J16" s="198" t="e">
        <f t="shared" si="3"/>
        <v>#DIV/0!</v>
      </c>
      <c r="K16" s="198" t="e">
        <f t="shared" si="3"/>
        <v>#DIV/0!</v>
      </c>
      <c r="L16" s="198" t="e">
        <f t="shared" si="3"/>
        <v>#DIV/0!</v>
      </c>
      <c r="M16" s="198" t="e">
        <f t="shared" si="3"/>
        <v>#DIV/0!</v>
      </c>
      <c r="N16" s="198" t="e">
        <f t="shared" si="3"/>
        <v>#DIV/0!</v>
      </c>
      <c r="O16" s="198" t="e">
        <f t="shared" si="3"/>
        <v>#DIV/0!</v>
      </c>
      <c r="P16" s="395" t="e">
        <f t="shared" si="1"/>
        <v>#DIV/0!</v>
      </c>
    </row>
    <row r="17" spans="2:18" ht="14.85" customHeight="1" x14ac:dyDescent="0.25">
      <c r="B17" s="378">
        <f>ÜLDANDMED!F10</f>
        <v>2025</v>
      </c>
      <c r="C17" s="390" t="s">
        <v>56</v>
      </c>
      <c r="D17" s="393"/>
      <c r="E17" s="393"/>
      <c r="F17" s="393"/>
      <c r="G17" s="393"/>
      <c r="H17" s="393"/>
      <c r="I17" s="393"/>
      <c r="J17" s="393"/>
      <c r="K17" s="393"/>
      <c r="L17" s="393"/>
      <c r="M17" s="393"/>
      <c r="N17" s="393"/>
      <c r="O17" s="393"/>
      <c r="P17" s="75">
        <f t="shared" si="1"/>
        <v>0</v>
      </c>
      <c r="R17" s="49"/>
    </row>
    <row r="18" spans="2:18" ht="14.85" customHeight="1" thickBot="1" x14ac:dyDescent="0.3">
      <c r="B18" s="379"/>
      <c r="C18" s="391" t="s">
        <v>57</v>
      </c>
      <c r="D18" s="394" t="e">
        <f t="shared" ref="D18:O18" si="4">D17/b_2025</f>
        <v>#DIV/0!</v>
      </c>
      <c r="E18" s="394" t="e">
        <f t="shared" si="4"/>
        <v>#DIV/0!</v>
      </c>
      <c r="F18" s="394" t="e">
        <f t="shared" si="4"/>
        <v>#DIV/0!</v>
      </c>
      <c r="G18" s="394" t="e">
        <f t="shared" si="4"/>
        <v>#DIV/0!</v>
      </c>
      <c r="H18" s="394" t="e">
        <f t="shared" si="4"/>
        <v>#DIV/0!</v>
      </c>
      <c r="I18" s="394" t="e">
        <f t="shared" si="4"/>
        <v>#DIV/0!</v>
      </c>
      <c r="J18" s="394" t="e">
        <f t="shared" si="4"/>
        <v>#DIV/0!</v>
      </c>
      <c r="K18" s="394" t="e">
        <f t="shared" si="4"/>
        <v>#DIV/0!</v>
      </c>
      <c r="L18" s="394" t="e">
        <f t="shared" si="4"/>
        <v>#DIV/0!</v>
      </c>
      <c r="M18" s="394" t="e">
        <f t="shared" si="4"/>
        <v>#DIV/0!</v>
      </c>
      <c r="N18" s="394" t="e">
        <f t="shared" si="4"/>
        <v>#DIV/0!</v>
      </c>
      <c r="O18" s="394" t="e">
        <f t="shared" si="4"/>
        <v>#DIV/0!</v>
      </c>
      <c r="P18" s="76" t="e">
        <f t="shared" si="1"/>
        <v>#DIV/0!</v>
      </c>
    </row>
    <row r="19" spans="2:18" ht="14.85" customHeight="1" x14ac:dyDescent="0.25">
      <c r="B19" s="378">
        <f>ÜLDANDMED!G10</f>
        <v>2026</v>
      </c>
      <c r="C19" s="382" t="s">
        <v>56</v>
      </c>
      <c r="D19" s="393"/>
      <c r="E19" s="393"/>
      <c r="F19" s="393"/>
      <c r="G19" s="393"/>
      <c r="H19" s="393"/>
      <c r="I19" s="393"/>
      <c r="J19" s="393"/>
      <c r="K19" s="393"/>
      <c r="L19" s="393"/>
      <c r="M19" s="393"/>
      <c r="N19" s="393"/>
      <c r="O19" s="393"/>
      <c r="P19" s="396">
        <f t="shared" si="1"/>
        <v>0</v>
      </c>
      <c r="R19" s="49"/>
    </row>
    <row r="20" spans="2:18" ht="14.85" customHeight="1" thickBot="1" x14ac:dyDescent="0.3">
      <c r="B20" s="379"/>
      <c r="C20" s="391" t="s">
        <v>57</v>
      </c>
      <c r="D20" s="198" t="e">
        <f t="shared" ref="D20:O20" si="5">D19/b_2026</f>
        <v>#DIV/0!</v>
      </c>
      <c r="E20" s="198" t="e">
        <f t="shared" si="5"/>
        <v>#DIV/0!</v>
      </c>
      <c r="F20" s="198" t="e">
        <f t="shared" si="5"/>
        <v>#DIV/0!</v>
      </c>
      <c r="G20" s="198" t="e">
        <f t="shared" si="5"/>
        <v>#DIV/0!</v>
      </c>
      <c r="H20" s="198" t="e">
        <f t="shared" si="5"/>
        <v>#DIV/0!</v>
      </c>
      <c r="I20" s="198" t="e">
        <f t="shared" si="5"/>
        <v>#DIV/0!</v>
      </c>
      <c r="J20" s="198" t="e">
        <f t="shared" si="5"/>
        <v>#DIV/0!</v>
      </c>
      <c r="K20" s="198" t="e">
        <f t="shared" si="5"/>
        <v>#DIV/0!</v>
      </c>
      <c r="L20" s="198" t="e">
        <f t="shared" si="5"/>
        <v>#DIV/0!</v>
      </c>
      <c r="M20" s="198" t="e">
        <f t="shared" si="5"/>
        <v>#DIV/0!</v>
      </c>
      <c r="N20" s="198" t="e">
        <f t="shared" si="5"/>
        <v>#DIV/0!</v>
      </c>
      <c r="O20" s="198" t="e">
        <f t="shared" si="5"/>
        <v>#DIV/0!</v>
      </c>
      <c r="P20" s="395" t="e">
        <f t="shared" si="1"/>
        <v>#DIV/0!</v>
      </c>
    </row>
    <row r="21" spans="2:18" ht="14.85" customHeight="1" x14ac:dyDescent="0.25">
      <c r="B21" s="378">
        <f>ÜLDANDMED!H10</f>
        <v>2027</v>
      </c>
      <c r="C21" s="390" t="s">
        <v>56</v>
      </c>
      <c r="D21" s="393"/>
      <c r="E21" s="393"/>
      <c r="F21" s="393"/>
      <c r="G21" s="393"/>
      <c r="H21" s="393"/>
      <c r="I21" s="393"/>
      <c r="J21" s="393"/>
      <c r="K21" s="393"/>
      <c r="L21" s="393"/>
      <c r="M21" s="393"/>
      <c r="N21" s="393"/>
      <c r="O21" s="393"/>
      <c r="P21" s="75">
        <f t="shared" si="1"/>
        <v>0</v>
      </c>
      <c r="R21" s="49"/>
    </row>
    <row r="22" spans="2:18" ht="14.85" customHeight="1" thickBot="1" x14ac:dyDescent="0.3">
      <c r="B22" s="379"/>
      <c r="C22" s="391" t="s">
        <v>57</v>
      </c>
      <c r="D22" s="397" t="e">
        <f t="shared" ref="D22:O22" si="6">D21/b_2027</f>
        <v>#DIV/0!</v>
      </c>
      <c r="E22" s="397" t="e">
        <f t="shared" si="6"/>
        <v>#DIV/0!</v>
      </c>
      <c r="F22" s="397" t="e">
        <f t="shared" si="6"/>
        <v>#DIV/0!</v>
      </c>
      <c r="G22" s="397" t="e">
        <f t="shared" si="6"/>
        <v>#DIV/0!</v>
      </c>
      <c r="H22" s="397" t="e">
        <f t="shared" si="6"/>
        <v>#DIV/0!</v>
      </c>
      <c r="I22" s="397" t="e">
        <f t="shared" si="6"/>
        <v>#DIV/0!</v>
      </c>
      <c r="J22" s="397" t="e">
        <f t="shared" si="6"/>
        <v>#DIV/0!</v>
      </c>
      <c r="K22" s="397" t="e">
        <f t="shared" si="6"/>
        <v>#DIV/0!</v>
      </c>
      <c r="L22" s="397" t="e">
        <f t="shared" si="6"/>
        <v>#DIV/0!</v>
      </c>
      <c r="M22" s="397" t="e">
        <f t="shared" si="6"/>
        <v>#DIV/0!</v>
      </c>
      <c r="N22" s="397" t="e">
        <f t="shared" si="6"/>
        <v>#DIV/0!</v>
      </c>
      <c r="O22" s="397" t="e">
        <f t="shared" si="6"/>
        <v>#DIV/0!</v>
      </c>
      <c r="P22" s="76" t="e">
        <f t="shared" si="1"/>
        <v>#DIV/0!</v>
      </c>
    </row>
    <row r="23" spans="2:18" ht="14.85" customHeight="1" x14ac:dyDescent="0.25">
      <c r="B23" s="378">
        <f>ÜLDANDMED!I10</f>
        <v>2028</v>
      </c>
      <c r="C23" s="382" t="s">
        <v>56</v>
      </c>
      <c r="D23" s="393"/>
      <c r="E23" s="393"/>
      <c r="F23" s="393"/>
      <c r="G23" s="393"/>
      <c r="H23" s="393"/>
      <c r="I23" s="393"/>
      <c r="J23" s="393"/>
      <c r="K23" s="393"/>
      <c r="L23" s="393"/>
      <c r="M23" s="393"/>
      <c r="N23" s="393"/>
      <c r="O23" s="393"/>
      <c r="P23" s="396">
        <f t="shared" si="1"/>
        <v>0</v>
      </c>
      <c r="R23" s="49"/>
    </row>
    <row r="24" spans="2:18" ht="14.85" customHeight="1" thickBot="1" x14ac:dyDescent="0.3">
      <c r="B24" s="380"/>
      <c r="C24" s="391" t="s">
        <v>57</v>
      </c>
      <c r="D24" s="198" t="e">
        <f t="shared" ref="D24:O24" si="7">D23/b_2028</f>
        <v>#DIV/0!</v>
      </c>
      <c r="E24" s="198" t="e">
        <f t="shared" si="7"/>
        <v>#DIV/0!</v>
      </c>
      <c r="F24" s="198" t="e">
        <f t="shared" si="7"/>
        <v>#DIV/0!</v>
      </c>
      <c r="G24" s="198" t="e">
        <f t="shared" si="7"/>
        <v>#DIV/0!</v>
      </c>
      <c r="H24" s="198" t="e">
        <f t="shared" si="7"/>
        <v>#DIV/0!</v>
      </c>
      <c r="I24" s="198" t="e">
        <f t="shared" si="7"/>
        <v>#DIV/0!</v>
      </c>
      <c r="J24" s="198" t="e">
        <f t="shared" si="7"/>
        <v>#DIV/0!</v>
      </c>
      <c r="K24" s="198" t="e">
        <f t="shared" si="7"/>
        <v>#DIV/0!</v>
      </c>
      <c r="L24" s="198" t="e">
        <f t="shared" si="7"/>
        <v>#DIV/0!</v>
      </c>
      <c r="M24" s="198" t="e">
        <f t="shared" si="7"/>
        <v>#DIV/0!</v>
      </c>
      <c r="N24" s="198" t="e">
        <f t="shared" si="7"/>
        <v>#DIV/0!</v>
      </c>
      <c r="O24" s="198" t="e">
        <f t="shared" si="7"/>
        <v>#DIV/0!</v>
      </c>
      <c r="P24" s="76" t="e">
        <f>SUM(D24:O24)</f>
        <v>#DIV/0!</v>
      </c>
    </row>
  </sheetData>
  <mergeCells count="17">
    <mergeCell ref="M9:M10"/>
    <mergeCell ref="I9:I10"/>
    <mergeCell ref="N9:N10"/>
    <mergeCell ref="B3:P3"/>
    <mergeCell ref="B5:C5"/>
    <mergeCell ref="O9:O10"/>
    <mergeCell ref="P9:P10"/>
    <mergeCell ref="J9:J10"/>
    <mergeCell ref="K9:K10"/>
    <mergeCell ref="C9:C10"/>
    <mergeCell ref="B9:B10"/>
    <mergeCell ref="H9:H10"/>
    <mergeCell ref="D9:D10"/>
    <mergeCell ref="E9:E10"/>
    <mergeCell ref="F9:F10"/>
    <mergeCell ref="G9:G10"/>
    <mergeCell ref="L9:L10"/>
  </mergeCells>
  <pageMargins left="0.70866141732283472" right="0.70866141732283472" top="0.74803149606299213" bottom="0.74803149606299213" header="0.31496062992125984" footer="0.31496062992125984"/>
  <pageSetup paperSize="9" scale="4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P72"/>
  <sheetViews>
    <sheetView showGridLines="0" zoomScaleNormal="100" workbookViewId="0">
      <pane xSplit="1" ySplit="1" topLeftCell="B29" activePane="bottomRight" state="frozen"/>
      <selection pane="topRight" activeCell="B1" sqref="B1"/>
      <selection pane="bottomLeft" activeCell="A3" sqref="A3"/>
      <selection pane="bottomRight" activeCell="H18" sqref="H18"/>
    </sheetView>
  </sheetViews>
  <sheetFormatPr defaultRowHeight="15" customHeight="1" x14ac:dyDescent="0.25"/>
  <cols>
    <col min="1" max="1" width="2.5703125" customWidth="1"/>
    <col min="2" max="2" width="7.5703125" customWidth="1"/>
    <col min="3" max="3" width="43.42578125" customWidth="1"/>
    <col min="4" max="4" width="15.5703125" style="3" customWidth="1"/>
  </cols>
  <sheetData>
    <row r="1" spans="1:16" ht="15" customHeight="1" x14ac:dyDescent="0.3">
      <c r="A1" s="23"/>
      <c r="B1" s="32" t="s">
        <v>58</v>
      </c>
    </row>
    <row r="2" spans="1:16" ht="15" customHeight="1" x14ac:dyDescent="0.35">
      <c r="A2" s="23"/>
      <c r="B2" s="31"/>
    </row>
    <row r="3" spans="1:16" s="522" customFormat="1" ht="15" customHeight="1" x14ac:dyDescent="0.3">
      <c r="A3" s="521"/>
      <c r="B3" s="526" t="s">
        <v>504</v>
      </c>
      <c r="C3" s="527"/>
      <c r="D3" s="527"/>
      <c r="E3" s="527"/>
      <c r="F3" s="527"/>
      <c r="G3" s="527"/>
      <c r="H3" s="527"/>
      <c r="I3" s="527"/>
      <c r="J3" s="527"/>
      <c r="K3" s="527"/>
      <c r="L3" s="527"/>
      <c r="M3" s="528"/>
    </row>
    <row r="4" spans="1:16" s="522" customFormat="1" ht="44.45" customHeight="1" x14ac:dyDescent="0.3">
      <c r="A4" s="521"/>
      <c r="B4" s="629" t="s">
        <v>505</v>
      </c>
      <c r="C4" s="630"/>
      <c r="D4" s="630"/>
      <c r="E4" s="630"/>
      <c r="F4" s="630"/>
      <c r="G4" s="630"/>
      <c r="H4" s="630"/>
      <c r="I4" s="630"/>
      <c r="J4" s="630"/>
      <c r="K4" s="630"/>
      <c r="L4" s="630"/>
      <c r="M4" s="631"/>
      <c r="N4" s="525"/>
      <c r="O4" s="525"/>
      <c r="P4" s="525"/>
    </row>
    <row r="5" spans="1:16" s="522" customFormat="1" ht="15" customHeight="1" x14ac:dyDescent="0.3">
      <c r="A5" s="521"/>
      <c r="B5" s="258"/>
      <c r="C5" s="518" t="s">
        <v>59</v>
      </c>
      <c r="D5" s="518">
        <v>500</v>
      </c>
      <c r="E5" s="517" t="s">
        <v>60</v>
      </c>
      <c r="F5"/>
      <c r="G5" s="260"/>
      <c r="H5" s="260"/>
      <c r="I5" s="260"/>
      <c r="J5"/>
      <c r="K5"/>
      <c r="L5"/>
      <c r="M5" s="146"/>
    </row>
    <row r="6" spans="1:16" s="522" customFormat="1" ht="15" customHeight="1" x14ac:dyDescent="0.3">
      <c r="A6" s="521"/>
      <c r="B6" s="258"/>
      <c r="C6" s="259" t="s">
        <v>61</v>
      </c>
      <c r="D6" s="259">
        <f>'KHG eriheitetegurid'!D377</f>
        <v>5</v>
      </c>
      <c r="E6" s="255" t="s">
        <v>62</v>
      </c>
      <c r="F6"/>
      <c r="G6" s="260"/>
      <c r="H6" s="260"/>
      <c r="I6" s="260"/>
      <c r="J6"/>
      <c r="K6"/>
      <c r="L6"/>
      <c r="M6" s="146"/>
    </row>
    <row r="7" spans="1:16" s="522" customFormat="1" ht="15" customHeight="1" x14ac:dyDescent="0.3">
      <c r="A7" s="521"/>
      <c r="B7" s="258"/>
      <c r="C7" s="259" t="s">
        <v>506</v>
      </c>
      <c r="D7" s="529">
        <f>'KHG eriheitetegurid'!D378</f>
        <v>2.7315789473684209</v>
      </c>
      <c r="E7" s="255" t="s">
        <v>62</v>
      </c>
      <c r="F7"/>
      <c r="G7" s="260"/>
      <c r="H7" s="260"/>
      <c r="I7" s="260"/>
      <c r="J7"/>
      <c r="K7"/>
      <c r="L7"/>
      <c r="M7" s="146"/>
    </row>
    <row r="8" spans="1:16" s="522" customFormat="1" ht="15" customHeight="1" x14ac:dyDescent="0.3">
      <c r="A8" s="521"/>
      <c r="B8" s="258"/>
      <c r="C8" s="259" t="s">
        <v>507</v>
      </c>
      <c r="D8" s="529">
        <f>'KHG eriheitetegurid'!D379</f>
        <v>3.8021979759645794</v>
      </c>
      <c r="E8" s="255" t="s">
        <v>62</v>
      </c>
      <c r="F8"/>
      <c r="G8" s="260"/>
      <c r="H8" s="260"/>
      <c r="I8" s="260"/>
      <c r="J8"/>
      <c r="K8"/>
      <c r="L8"/>
      <c r="M8" s="146"/>
    </row>
    <row r="9" spans="1:16" ht="15" customHeight="1" x14ac:dyDescent="0.3">
      <c r="A9" s="23"/>
      <c r="B9" s="632" t="s">
        <v>510</v>
      </c>
      <c r="C9" s="633"/>
      <c r="D9" s="633"/>
      <c r="E9" s="633"/>
      <c r="F9" s="633"/>
      <c r="G9" s="633"/>
      <c r="H9" s="633"/>
      <c r="I9" s="633"/>
      <c r="J9" s="530"/>
      <c r="K9" s="530"/>
      <c r="L9" s="530"/>
      <c r="M9" s="531"/>
    </row>
    <row r="10" spans="1:16" ht="15" customHeight="1" x14ac:dyDescent="0.3">
      <c r="A10" s="23"/>
      <c r="B10" s="35"/>
      <c r="C10" s="35"/>
      <c r="D10" s="86"/>
      <c r="E10" s="35"/>
      <c r="F10" s="35"/>
      <c r="G10" s="35"/>
    </row>
    <row r="11" spans="1:16" ht="15" customHeight="1" x14ac:dyDescent="0.25">
      <c r="B11" s="589" t="s">
        <v>8</v>
      </c>
      <c r="C11" s="589"/>
    </row>
    <row r="12" spans="1:16" ht="15" customHeight="1" x14ac:dyDescent="0.25">
      <c r="C12" s="166" t="s">
        <v>9</v>
      </c>
    </row>
    <row r="13" spans="1:16" ht="15" customHeight="1" x14ac:dyDescent="0.25">
      <c r="C13" s="145" t="s">
        <v>10</v>
      </c>
    </row>
    <row r="14" spans="1:16" ht="15" customHeight="1" thickBot="1" x14ac:dyDescent="0.3"/>
    <row r="15" spans="1:16" ht="15" customHeight="1" x14ac:dyDescent="0.25">
      <c r="B15" s="634" t="s">
        <v>21</v>
      </c>
      <c r="C15" s="616" t="s">
        <v>22</v>
      </c>
      <c r="D15" s="613" t="s">
        <v>35</v>
      </c>
    </row>
    <row r="16" spans="1:16" ht="15" customHeight="1" thickBot="1" x14ac:dyDescent="0.3">
      <c r="B16" s="635"/>
      <c r="C16" s="618"/>
      <c r="D16" s="614"/>
    </row>
    <row r="17" spans="2:6" ht="15" customHeight="1" x14ac:dyDescent="0.25">
      <c r="B17" s="520">
        <f>ÜLDANDMED!C10</f>
        <v>2022</v>
      </c>
      <c r="C17" s="367" t="s">
        <v>63</v>
      </c>
      <c r="D17" s="77"/>
    </row>
    <row r="18" spans="2:6" ht="15" customHeight="1" x14ac:dyDescent="0.25">
      <c r="B18" s="504"/>
      <c r="C18" s="368" t="s">
        <v>64</v>
      </c>
      <c r="D18" s="78">
        <f>D17*$D$5</f>
        <v>0</v>
      </c>
    </row>
    <row r="19" spans="2:6" ht="15" customHeight="1" x14ac:dyDescent="0.25">
      <c r="B19" s="504"/>
      <c r="C19" s="369" t="s">
        <v>65</v>
      </c>
      <c r="D19" s="78" t="e">
        <f>D18/a_2022</f>
        <v>#DIV/0!</v>
      </c>
    </row>
    <row r="20" spans="2:6" ht="15" customHeight="1" x14ac:dyDescent="0.25">
      <c r="B20" s="504"/>
      <c r="C20" s="370" t="s">
        <v>66</v>
      </c>
      <c r="D20" s="506">
        <f>D18*$D$6/1000</f>
        <v>0</v>
      </c>
      <c r="F20" s="113"/>
    </row>
    <row r="21" spans="2:6" ht="15" customHeight="1" x14ac:dyDescent="0.25">
      <c r="B21" s="504"/>
      <c r="C21" s="508" t="s">
        <v>512</v>
      </c>
      <c r="D21" s="507"/>
      <c r="F21" s="113"/>
    </row>
    <row r="22" spans="2:6" ht="15" customHeight="1" x14ac:dyDescent="0.25">
      <c r="B22" s="504"/>
      <c r="C22" s="533" t="s">
        <v>513</v>
      </c>
      <c r="D22" s="506">
        <f>D21*$D$7/1000</f>
        <v>0</v>
      </c>
      <c r="F22" s="113"/>
    </row>
    <row r="23" spans="2:6" ht="15" customHeight="1" x14ac:dyDescent="0.25">
      <c r="B23" s="504"/>
      <c r="C23" s="508" t="s">
        <v>67</v>
      </c>
      <c r="D23" s="532"/>
      <c r="F23" s="113"/>
    </row>
    <row r="24" spans="2:6" ht="15" customHeight="1" thickBot="1" x14ac:dyDescent="0.3">
      <c r="B24" s="504"/>
      <c r="C24" s="533" t="s">
        <v>511</v>
      </c>
      <c r="D24" s="534">
        <f>D23*$D$8/1000</f>
        <v>0</v>
      </c>
      <c r="F24" s="113"/>
    </row>
    <row r="25" spans="2:6" ht="15" customHeight="1" x14ac:dyDescent="0.25">
      <c r="B25" s="520">
        <f>ÜLDANDMED!D10</f>
        <v>2023</v>
      </c>
      <c r="C25" s="367" t="s">
        <v>63</v>
      </c>
      <c r="D25" s="77"/>
    </row>
    <row r="26" spans="2:6" ht="15" customHeight="1" x14ac:dyDescent="0.25">
      <c r="B26" s="504"/>
      <c r="C26" s="368" t="s">
        <v>64</v>
      </c>
      <c r="D26" s="78">
        <f>D25*$D$5</f>
        <v>0</v>
      </c>
    </row>
    <row r="27" spans="2:6" ht="15" customHeight="1" x14ac:dyDescent="0.25">
      <c r="B27" s="504"/>
      <c r="C27" s="369" t="s">
        <v>65</v>
      </c>
      <c r="D27" s="78" t="e">
        <f>D26/a_2023</f>
        <v>#DIV/0!</v>
      </c>
    </row>
    <row r="28" spans="2:6" ht="15" customHeight="1" x14ac:dyDescent="0.25">
      <c r="B28" s="504"/>
      <c r="C28" s="370" t="s">
        <v>66</v>
      </c>
      <c r="D28" s="511">
        <f>D26*$D$6/1000</f>
        <v>0</v>
      </c>
    </row>
    <row r="29" spans="2:6" ht="15" customHeight="1" x14ac:dyDescent="0.25">
      <c r="B29" s="504"/>
      <c r="C29" s="508" t="s">
        <v>512</v>
      </c>
      <c r="D29" s="507"/>
    </row>
    <row r="30" spans="2:6" ht="15" customHeight="1" x14ac:dyDescent="0.25">
      <c r="B30" s="504"/>
      <c r="C30" s="533" t="s">
        <v>513</v>
      </c>
      <c r="D30" s="511">
        <f>D29*$D$7/1000</f>
        <v>0</v>
      </c>
      <c r="F30" s="113"/>
    </row>
    <row r="31" spans="2:6" ht="15" customHeight="1" x14ac:dyDescent="0.25">
      <c r="B31" s="504"/>
      <c r="C31" s="508" t="s">
        <v>67</v>
      </c>
      <c r="D31" s="507"/>
    </row>
    <row r="32" spans="2:6" ht="15" customHeight="1" thickBot="1" x14ac:dyDescent="0.3">
      <c r="B32" s="504"/>
      <c r="C32" s="533" t="s">
        <v>511</v>
      </c>
      <c r="D32" s="534">
        <f>D31*$D$8/1000</f>
        <v>0</v>
      </c>
      <c r="F32" s="113"/>
    </row>
    <row r="33" spans="2:6" ht="15" customHeight="1" x14ac:dyDescent="0.25">
      <c r="B33" s="520">
        <f>ÜLDANDMED!E10</f>
        <v>2024</v>
      </c>
      <c r="C33" s="367" t="s">
        <v>63</v>
      </c>
      <c r="D33" s="77"/>
    </row>
    <row r="34" spans="2:6" ht="15" customHeight="1" x14ac:dyDescent="0.25">
      <c r="B34" s="504"/>
      <c r="C34" s="368" t="s">
        <v>64</v>
      </c>
      <c r="D34" s="78">
        <f>D33*$D$5</f>
        <v>0</v>
      </c>
    </row>
    <row r="35" spans="2:6" ht="15" customHeight="1" x14ac:dyDescent="0.25">
      <c r="B35" s="504"/>
      <c r="C35" s="369" t="s">
        <v>65</v>
      </c>
      <c r="D35" s="78" t="e">
        <f>D34/a_2024</f>
        <v>#DIV/0!</v>
      </c>
    </row>
    <row r="36" spans="2:6" ht="15" customHeight="1" x14ac:dyDescent="0.25">
      <c r="B36" s="504"/>
      <c r="C36" s="370" t="s">
        <v>66</v>
      </c>
      <c r="D36" s="511">
        <f>D34*$D$6/1000</f>
        <v>0</v>
      </c>
    </row>
    <row r="37" spans="2:6" ht="15" customHeight="1" x14ac:dyDescent="0.25">
      <c r="B37" s="504"/>
      <c r="C37" s="508" t="s">
        <v>512</v>
      </c>
      <c r="D37" s="507"/>
    </row>
    <row r="38" spans="2:6" ht="15" customHeight="1" x14ac:dyDescent="0.25">
      <c r="B38" s="504"/>
      <c r="C38" s="533" t="s">
        <v>513</v>
      </c>
      <c r="D38" s="511">
        <f>D37*$D$7/1000</f>
        <v>0</v>
      </c>
      <c r="F38" s="113"/>
    </row>
    <row r="39" spans="2:6" ht="15" customHeight="1" x14ac:dyDescent="0.25">
      <c r="B39" s="504"/>
      <c r="C39" s="508" t="s">
        <v>67</v>
      </c>
      <c r="D39" s="507"/>
    </row>
    <row r="40" spans="2:6" ht="15" customHeight="1" thickBot="1" x14ac:dyDescent="0.3">
      <c r="B40" s="504"/>
      <c r="C40" s="533" t="s">
        <v>511</v>
      </c>
      <c r="D40" s="534">
        <f>D39*$D$8/1000</f>
        <v>0</v>
      </c>
      <c r="F40" s="113"/>
    </row>
    <row r="41" spans="2:6" ht="15" customHeight="1" x14ac:dyDescent="0.25">
      <c r="B41" s="520">
        <f>ÜLDANDMED!F10</f>
        <v>2025</v>
      </c>
      <c r="C41" s="367" t="s">
        <v>63</v>
      </c>
      <c r="D41" s="77"/>
    </row>
    <row r="42" spans="2:6" ht="15" customHeight="1" x14ac:dyDescent="0.25">
      <c r="B42" s="504"/>
      <c r="C42" s="368" t="s">
        <v>64</v>
      </c>
      <c r="D42" s="78">
        <f>D41*$D$5</f>
        <v>0</v>
      </c>
    </row>
    <row r="43" spans="2:6" ht="15" customHeight="1" x14ac:dyDescent="0.25">
      <c r="B43" s="504"/>
      <c r="C43" s="369" t="s">
        <v>65</v>
      </c>
      <c r="D43" s="78" t="e">
        <f>D42/a_2025</f>
        <v>#DIV/0!</v>
      </c>
    </row>
    <row r="44" spans="2:6" ht="15" customHeight="1" x14ac:dyDescent="0.25">
      <c r="B44" s="504"/>
      <c r="C44" s="370" t="s">
        <v>66</v>
      </c>
      <c r="D44" s="511">
        <f>D42*$D$6/1000</f>
        <v>0</v>
      </c>
    </row>
    <row r="45" spans="2:6" ht="15" customHeight="1" x14ac:dyDescent="0.25">
      <c r="B45" s="504"/>
      <c r="C45" s="508" t="s">
        <v>512</v>
      </c>
      <c r="D45" s="507"/>
    </row>
    <row r="46" spans="2:6" ht="15" customHeight="1" x14ac:dyDescent="0.25">
      <c r="B46" s="504"/>
      <c r="C46" s="533" t="s">
        <v>513</v>
      </c>
      <c r="D46" s="511">
        <f>D45*$D$7/1000</f>
        <v>0</v>
      </c>
      <c r="F46" s="113"/>
    </row>
    <row r="47" spans="2:6" ht="15" customHeight="1" x14ac:dyDescent="0.25">
      <c r="B47" s="504"/>
      <c r="C47" s="508" t="s">
        <v>67</v>
      </c>
      <c r="D47" s="507"/>
    </row>
    <row r="48" spans="2:6" ht="15" customHeight="1" thickBot="1" x14ac:dyDescent="0.3">
      <c r="B48" s="504"/>
      <c r="C48" s="533" t="s">
        <v>511</v>
      </c>
      <c r="D48" s="534">
        <f>D47*$D$8/1000</f>
        <v>0</v>
      </c>
      <c r="F48" s="113"/>
    </row>
    <row r="49" spans="2:6" ht="15" customHeight="1" x14ac:dyDescent="0.25">
      <c r="B49" s="520">
        <f>ÜLDANDMED!G10</f>
        <v>2026</v>
      </c>
      <c r="C49" s="367" t="s">
        <v>63</v>
      </c>
      <c r="D49" s="77"/>
    </row>
    <row r="50" spans="2:6" ht="15" customHeight="1" x14ac:dyDescent="0.25">
      <c r="B50" s="504"/>
      <c r="C50" s="368" t="s">
        <v>64</v>
      </c>
      <c r="D50" s="78">
        <f>D49*$D$5</f>
        <v>0</v>
      </c>
    </row>
    <row r="51" spans="2:6" ht="15" customHeight="1" x14ac:dyDescent="0.25">
      <c r="B51" s="504"/>
      <c r="C51" s="369" t="s">
        <v>65</v>
      </c>
      <c r="D51" s="78" t="e">
        <f>D50/a_2026</f>
        <v>#DIV/0!</v>
      </c>
    </row>
    <row r="52" spans="2:6" ht="15" customHeight="1" x14ac:dyDescent="0.25">
      <c r="B52" s="504"/>
      <c r="C52" s="370" t="s">
        <v>66</v>
      </c>
      <c r="D52" s="511">
        <f>D50*$D$6/1000</f>
        <v>0</v>
      </c>
    </row>
    <row r="53" spans="2:6" ht="15" customHeight="1" x14ac:dyDescent="0.25">
      <c r="B53" s="504"/>
      <c r="C53" s="508" t="s">
        <v>512</v>
      </c>
      <c r="D53" s="507"/>
    </row>
    <row r="54" spans="2:6" ht="15" customHeight="1" x14ac:dyDescent="0.25">
      <c r="B54" s="504"/>
      <c r="C54" s="533" t="s">
        <v>513</v>
      </c>
      <c r="D54" s="511">
        <f>D53*$D$7/1000</f>
        <v>0</v>
      </c>
      <c r="F54" s="113"/>
    </row>
    <row r="55" spans="2:6" ht="15" customHeight="1" x14ac:dyDescent="0.25">
      <c r="B55" s="504"/>
      <c r="C55" s="508" t="s">
        <v>67</v>
      </c>
      <c r="D55" s="507"/>
    </row>
    <row r="56" spans="2:6" ht="15" customHeight="1" thickBot="1" x14ac:dyDescent="0.3">
      <c r="B56" s="504"/>
      <c r="C56" s="533" t="s">
        <v>511</v>
      </c>
      <c r="D56" s="534">
        <f>D55*$D$8/1000</f>
        <v>0</v>
      </c>
      <c r="F56" s="113"/>
    </row>
    <row r="57" spans="2:6" ht="15" customHeight="1" x14ac:dyDescent="0.25">
      <c r="B57" s="520">
        <f>ÜLDANDMED!H10</f>
        <v>2027</v>
      </c>
      <c r="C57" s="367" t="s">
        <v>63</v>
      </c>
      <c r="D57" s="77"/>
    </row>
    <row r="58" spans="2:6" ht="15" customHeight="1" x14ac:dyDescent="0.25">
      <c r="B58" s="504"/>
      <c r="C58" s="368" t="s">
        <v>64</v>
      </c>
      <c r="D58" s="78">
        <f>D57*D5</f>
        <v>0</v>
      </c>
    </row>
    <row r="59" spans="2:6" ht="15" customHeight="1" x14ac:dyDescent="0.25">
      <c r="B59" s="504"/>
      <c r="C59" s="369" t="s">
        <v>65</v>
      </c>
      <c r="D59" s="78" t="e">
        <f>D58/a_2027</f>
        <v>#DIV/0!</v>
      </c>
    </row>
    <row r="60" spans="2:6" ht="15" customHeight="1" x14ac:dyDescent="0.25">
      <c r="B60" s="504"/>
      <c r="C60" s="370" t="s">
        <v>66</v>
      </c>
      <c r="D60" s="511">
        <f>D58*$D$6/1000</f>
        <v>0</v>
      </c>
    </row>
    <row r="61" spans="2:6" ht="15" customHeight="1" x14ac:dyDescent="0.25">
      <c r="B61" s="379"/>
      <c r="C61" s="508" t="s">
        <v>512</v>
      </c>
      <c r="D61" s="507"/>
    </row>
    <row r="62" spans="2:6" ht="15" customHeight="1" x14ac:dyDescent="0.25">
      <c r="B62" s="504"/>
      <c r="C62" s="533" t="s">
        <v>513</v>
      </c>
      <c r="D62" s="511">
        <f>D61*$D$7/1000</f>
        <v>0</v>
      </c>
      <c r="F62" s="113"/>
    </row>
    <row r="63" spans="2:6" ht="15" customHeight="1" x14ac:dyDescent="0.25">
      <c r="B63" s="379"/>
      <c r="C63" s="508" t="s">
        <v>67</v>
      </c>
      <c r="D63" s="507"/>
    </row>
    <row r="64" spans="2:6" ht="15" customHeight="1" thickBot="1" x14ac:dyDescent="0.3">
      <c r="B64" s="504"/>
      <c r="C64" s="533" t="s">
        <v>511</v>
      </c>
      <c r="D64" s="534">
        <f>D63*$D$8/1000</f>
        <v>0</v>
      </c>
      <c r="F64" s="113"/>
    </row>
    <row r="65" spans="2:6" ht="15" customHeight="1" x14ac:dyDescent="0.25">
      <c r="B65" s="520">
        <f>ÜLDANDMED!I10</f>
        <v>2028</v>
      </c>
      <c r="C65" s="367" t="s">
        <v>63</v>
      </c>
      <c r="D65" s="77"/>
    </row>
    <row r="66" spans="2:6" ht="15" customHeight="1" x14ac:dyDescent="0.25">
      <c r="B66" s="504"/>
      <c r="C66" s="368" t="s">
        <v>64</v>
      </c>
      <c r="D66" s="78">
        <f>D65*$D$5</f>
        <v>0</v>
      </c>
    </row>
    <row r="67" spans="2:6" ht="15" customHeight="1" x14ac:dyDescent="0.25">
      <c r="B67" s="504"/>
      <c r="C67" s="369" t="s">
        <v>65</v>
      </c>
      <c r="D67" s="78" t="e">
        <f>D66/a_2028</f>
        <v>#DIV/0!</v>
      </c>
    </row>
    <row r="68" spans="2:6" ht="15" customHeight="1" x14ac:dyDescent="0.25">
      <c r="B68" s="504"/>
      <c r="C68" s="510" t="s">
        <v>66</v>
      </c>
      <c r="D68" s="506">
        <f>D66*$D$6/1000</f>
        <v>0</v>
      </c>
    </row>
    <row r="69" spans="2:6" ht="15" customHeight="1" x14ac:dyDescent="0.25">
      <c r="B69" s="504"/>
      <c r="C69" s="508" t="s">
        <v>512</v>
      </c>
      <c r="D69" s="507"/>
    </row>
    <row r="70" spans="2:6" ht="15" customHeight="1" x14ac:dyDescent="0.25">
      <c r="B70" s="504"/>
      <c r="C70" s="533" t="s">
        <v>513</v>
      </c>
      <c r="D70" s="506">
        <f>D69*$D$7/1000</f>
        <v>0</v>
      </c>
      <c r="F70" s="113"/>
    </row>
    <row r="71" spans="2:6" ht="15" customHeight="1" x14ac:dyDescent="0.25">
      <c r="B71" s="504"/>
      <c r="C71" s="535" t="s">
        <v>67</v>
      </c>
      <c r="D71" s="532"/>
    </row>
    <row r="72" spans="2:6" ht="15" customHeight="1" thickBot="1" x14ac:dyDescent="0.3">
      <c r="B72" s="505"/>
      <c r="C72" s="536" t="s">
        <v>511</v>
      </c>
      <c r="D72" s="534">
        <f>D71*$D$8/1000</f>
        <v>0</v>
      </c>
      <c r="F72" s="113"/>
    </row>
  </sheetData>
  <mergeCells count="6">
    <mergeCell ref="B4:M4"/>
    <mergeCell ref="B9:I9"/>
    <mergeCell ref="B15:B16"/>
    <mergeCell ref="D15:D16"/>
    <mergeCell ref="B11:C11"/>
    <mergeCell ref="C15:C16"/>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U201"/>
  <sheetViews>
    <sheetView showGridLines="0" showWhiteSpace="0" zoomScaleNormal="100" workbookViewId="0">
      <pane xSplit="1" ySplit="1" topLeftCell="B21" activePane="bottomRight" state="frozen"/>
      <selection pane="topRight" activeCell="B1" sqref="B1"/>
      <selection pane="bottomLeft" activeCell="A3" sqref="A3"/>
      <selection pane="bottomRight" activeCell="E40" sqref="E40"/>
    </sheetView>
  </sheetViews>
  <sheetFormatPr defaultRowHeight="15" x14ac:dyDescent="0.25"/>
  <cols>
    <col min="1" max="1" width="2.5703125" customWidth="1"/>
    <col min="2" max="2" width="7.5703125" style="3" customWidth="1"/>
    <col min="3" max="3" width="57.5703125" style="3" bestFit="1" customWidth="1"/>
    <col min="4" max="15" width="10.5703125" style="3" customWidth="1"/>
    <col min="16" max="16" width="15.5703125" style="3" customWidth="1"/>
  </cols>
  <sheetData>
    <row r="1" spans="1:17" ht="18.600000000000001" customHeight="1" x14ac:dyDescent="0.3">
      <c r="B1" s="92" t="s">
        <v>68</v>
      </c>
    </row>
    <row r="2" spans="1:17" ht="15" customHeight="1" x14ac:dyDescent="0.3">
      <c r="C2" s="130"/>
    </row>
    <row r="3" spans="1:17" ht="69.75" customHeight="1" x14ac:dyDescent="0.25">
      <c r="B3" s="641" t="s">
        <v>69</v>
      </c>
      <c r="C3" s="642"/>
      <c r="D3" s="642"/>
      <c r="E3" s="642"/>
      <c r="F3" s="642"/>
      <c r="G3" s="642"/>
      <c r="H3" s="642"/>
      <c r="I3" s="642"/>
      <c r="J3" s="642"/>
      <c r="K3" s="642"/>
      <c r="L3" s="642"/>
      <c r="M3" s="642"/>
      <c r="N3" s="642"/>
      <c r="O3" s="642"/>
      <c r="P3" s="643"/>
    </row>
    <row r="4" spans="1:17" s="62" customFormat="1" ht="15" customHeight="1" x14ac:dyDescent="0.25">
      <c r="A4" s="61"/>
      <c r="B4" s="147"/>
      <c r="C4" s="160" t="s">
        <v>70</v>
      </c>
      <c r="D4" s="149" t="s">
        <v>71</v>
      </c>
      <c r="E4" s="150">
        <v>0.2</v>
      </c>
      <c r="F4" s="151" t="s">
        <v>72</v>
      </c>
      <c r="G4" s="150">
        <f>E4*1000</f>
        <v>200</v>
      </c>
      <c r="H4" s="151" t="s">
        <v>73</v>
      </c>
      <c r="I4"/>
      <c r="J4"/>
      <c r="K4"/>
      <c r="L4"/>
      <c r="M4"/>
      <c r="N4"/>
      <c r="P4" s="148"/>
    </row>
    <row r="5" spans="1:17" s="62" customFormat="1" ht="15" customHeight="1" x14ac:dyDescent="0.25">
      <c r="A5" s="61"/>
      <c r="B5" s="147"/>
      <c r="C5" s="160" t="s">
        <v>74</v>
      </c>
      <c r="D5" s="149" t="s">
        <v>71</v>
      </c>
      <c r="E5" s="150">
        <v>0.16</v>
      </c>
      <c r="F5" s="151" t="s">
        <v>72</v>
      </c>
      <c r="G5" s="150">
        <f t="shared" ref="G5:G8" si="0">E5*1000</f>
        <v>160</v>
      </c>
      <c r="H5" s="151" t="s">
        <v>73</v>
      </c>
      <c r="I5"/>
      <c r="J5"/>
      <c r="K5"/>
      <c r="L5"/>
      <c r="M5"/>
      <c r="N5"/>
      <c r="P5" s="148"/>
    </row>
    <row r="6" spans="1:17" s="62" customFormat="1" ht="15" customHeight="1" x14ac:dyDescent="0.25">
      <c r="A6" s="61"/>
      <c r="B6" s="147"/>
      <c r="C6" s="160" t="s">
        <v>75</v>
      </c>
      <c r="D6" s="149" t="s">
        <v>71</v>
      </c>
      <c r="E6" s="150">
        <v>0.05</v>
      </c>
      <c r="F6" s="151" t="s">
        <v>72</v>
      </c>
      <c r="G6" s="150">
        <f>E6*1000</f>
        <v>50</v>
      </c>
      <c r="H6" s="151" t="s">
        <v>73</v>
      </c>
      <c r="I6"/>
      <c r="J6"/>
      <c r="K6"/>
      <c r="L6"/>
      <c r="M6"/>
      <c r="N6"/>
      <c r="P6" s="148"/>
    </row>
    <row r="7" spans="1:17" s="62" customFormat="1" ht="15" customHeight="1" x14ac:dyDescent="0.25">
      <c r="A7" s="61"/>
      <c r="B7" s="147"/>
      <c r="C7" s="160" t="s">
        <v>76</v>
      </c>
      <c r="D7" s="149" t="s">
        <v>71</v>
      </c>
      <c r="E7" s="152">
        <v>0.05</v>
      </c>
      <c r="F7" s="151" t="s">
        <v>72</v>
      </c>
      <c r="G7" s="150">
        <f t="shared" si="0"/>
        <v>50</v>
      </c>
      <c r="H7" s="151" t="s">
        <v>73</v>
      </c>
      <c r="I7"/>
      <c r="J7"/>
      <c r="K7"/>
      <c r="L7"/>
      <c r="M7"/>
      <c r="N7"/>
      <c r="P7" s="148"/>
    </row>
    <row r="8" spans="1:17" s="62" customFormat="1" ht="15" customHeight="1" x14ac:dyDescent="0.25">
      <c r="A8" s="61"/>
      <c r="B8" s="147"/>
      <c r="C8" s="151" t="s">
        <v>77</v>
      </c>
      <c r="D8" s="149" t="s">
        <v>71</v>
      </c>
      <c r="E8" s="150">
        <v>0.1</v>
      </c>
      <c r="F8" s="151" t="s">
        <v>72</v>
      </c>
      <c r="G8" s="150">
        <f t="shared" si="0"/>
        <v>100</v>
      </c>
      <c r="H8" s="151" t="s">
        <v>73</v>
      </c>
      <c r="I8"/>
      <c r="J8"/>
      <c r="K8"/>
      <c r="L8"/>
      <c r="M8"/>
      <c r="N8"/>
      <c r="P8" s="148"/>
    </row>
    <row r="9" spans="1:17" s="62" customFormat="1" ht="139.5" customHeight="1" x14ac:dyDescent="0.25">
      <c r="A9" s="61"/>
      <c r="B9" s="644" t="s">
        <v>78</v>
      </c>
      <c r="C9" s="645"/>
      <c r="D9" s="645"/>
      <c r="E9" s="645"/>
      <c r="F9" s="645"/>
      <c r="G9" s="645"/>
      <c r="H9" s="645"/>
      <c r="I9" s="645"/>
      <c r="J9" s="645"/>
      <c r="K9" s="645"/>
      <c r="L9" s="645"/>
      <c r="M9" s="645"/>
      <c r="N9" s="645"/>
      <c r="O9" s="645"/>
      <c r="P9" s="646"/>
    </row>
    <row r="10" spans="1:17" s="62" customFormat="1" ht="15" customHeight="1" x14ac:dyDescent="0.25">
      <c r="A10" s="61"/>
      <c r="B10" s="122"/>
      <c r="C10" s="261"/>
      <c r="D10" s="16"/>
      <c r="E10" s="16"/>
      <c r="F10" s="16"/>
      <c r="M10"/>
    </row>
    <row r="11" spans="1:17" ht="14.85" customHeight="1" x14ac:dyDescent="0.25">
      <c r="A11" s="1"/>
      <c r="B11" s="589" t="s">
        <v>8</v>
      </c>
      <c r="C11" s="589"/>
      <c r="D11" s="38"/>
      <c r="E11" s="24"/>
      <c r="F11" s="24"/>
      <c r="G11" s="24"/>
      <c r="H11" s="24"/>
      <c r="I11" s="24"/>
      <c r="J11" s="24"/>
      <c r="K11" s="24"/>
      <c r="L11" s="24"/>
      <c r="M11" s="24"/>
      <c r="N11" s="24"/>
      <c r="O11" s="24"/>
      <c r="P11" s="57"/>
      <c r="Q11" s="18"/>
    </row>
    <row r="12" spans="1:17" ht="14.85" customHeight="1" x14ac:dyDescent="0.25">
      <c r="A12" s="1"/>
      <c r="C12" s="166" t="s">
        <v>79</v>
      </c>
      <c r="D12" s="24"/>
      <c r="G12" s="24"/>
      <c r="H12" s="24"/>
      <c r="I12" s="24"/>
      <c r="J12" s="24"/>
      <c r="K12" s="24"/>
      <c r="L12" s="24"/>
      <c r="M12" s="24"/>
      <c r="N12" s="24"/>
      <c r="O12" s="24"/>
      <c r="P12" s="57"/>
      <c r="Q12" s="18"/>
    </row>
    <row r="13" spans="1:17" ht="14.85" customHeight="1" x14ac:dyDescent="0.25">
      <c r="A13" s="1"/>
      <c r="C13" s="163" t="s">
        <v>10</v>
      </c>
      <c r="D13" s="24"/>
      <c r="G13" s="24"/>
      <c r="H13" s="24"/>
      <c r="I13" s="24"/>
      <c r="J13" s="24"/>
      <c r="K13" s="24"/>
      <c r="L13" s="24"/>
      <c r="M13" s="24"/>
      <c r="N13" s="24"/>
      <c r="O13" s="24"/>
      <c r="P13" s="57"/>
      <c r="Q13" s="18"/>
    </row>
    <row r="14" spans="1:17" ht="15.75" thickBot="1" x14ac:dyDescent="0.3">
      <c r="A14" s="7"/>
      <c r="B14" s="6"/>
      <c r="D14" s="24"/>
      <c r="E14" s="24"/>
      <c r="F14" s="24"/>
      <c r="G14" s="24"/>
      <c r="H14" s="24"/>
      <c r="I14" s="24"/>
      <c r="J14" s="24"/>
      <c r="K14" s="24"/>
      <c r="L14" s="24"/>
      <c r="M14" s="24"/>
      <c r="N14" s="24"/>
      <c r="O14" s="24"/>
      <c r="P14" s="57"/>
      <c r="Q14" s="18"/>
    </row>
    <row r="15" spans="1:17" x14ac:dyDescent="0.25">
      <c r="B15" s="613" t="s">
        <v>21</v>
      </c>
      <c r="C15" s="636" t="s">
        <v>22</v>
      </c>
      <c r="D15" s="638" t="s">
        <v>23</v>
      </c>
      <c r="E15" s="610" t="s">
        <v>24</v>
      </c>
      <c r="F15" s="610" t="s">
        <v>25</v>
      </c>
      <c r="G15" s="610" t="s">
        <v>26</v>
      </c>
      <c r="H15" s="610" t="s">
        <v>27</v>
      </c>
      <c r="I15" s="610" t="s">
        <v>28</v>
      </c>
      <c r="J15" s="610" t="s">
        <v>29</v>
      </c>
      <c r="K15" s="610" t="s">
        <v>30</v>
      </c>
      <c r="L15" s="610" t="s">
        <v>31</v>
      </c>
      <c r="M15" s="610" t="s">
        <v>32</v>
      </c>
      <c r="N15" s="610" t="s">
        <v>33</v>
      </c>
      <c r="O15" s="639" t="s">
        <v>34</v>
      </c>
      <c r="P15" s="613" t="s">
        <v>35</v>
      </c>
    </row>
    <row r="16" spans="1:17" ht="15.75" thickBot="1" x14ac:dyDescent="0.3">
      <c r="B16" s="615"/>
      <c r="C16" s="637"/>
      <c r="D16" s="628"/>
      <c r="E16" s="612"/>
      <c r="F16" s="612"/>
      <c r="G16" s="612"/>
      <c r="H16" s="612"/>
      <c r="I16" s="612"/>
      <c r="J16" s="612"/>
      <c r="K16" s="612"/>
      <c r="L16" s="612"/>
      <c r="M16" s="612"/>
      <c r="N16" s="612"/>
      <c r="O16" s="640"/>
      <c r="P16" s="615"/>
    </row>
    <row r="17" spans="2:21" ht="14.85" customHeight="1" x14ac:dyDescent="0.25">
      <c r="B17" s="125">
        <f>ÜLDANDMED!C10</f>
        <v>2022</v>
      </c>
      <c r="C17" s="131" t="s">
        <v>80</v>
      </c>
      <c r="D17" s="364"/>
      <c r="E17" s="364"/>
      <c r="F17" s="364"/>
      <c r="G17" s="364"/>
      <c r="H17" s="364"/>
      <c r="I17" s="364"/>
      <c r="J17" s="364"/>
      <c r="K17" s="364"/>
      <c r="L17" s="364"/>
      <c r="M17" s="364"/>
      <c r="N17" s="364"/>
      <c r="O17" s="364"/>
      <c r="P17" s="73">
        <f>SUM(D17:O17)</f>
        <v>0</v>
      </c>
    </row>
    <row r="18" spans="2:21" s="2" customFormat="1" ht="14.85" customHeight="1" x14ac:dyDescent="0.25">
      <c r="B18" s="126"/>
      <c r="C18" s="46" t="s">
        <v>81</v>
      </c>
      <c r="D18" s="197">
        <f>D17*$G$4</f>
        <v>0</v>
      </c>
      <c r="E18" s="197">
        <f t="shared" ref="E18:O18" si="1">E17*$G$4</f>
        <v>0</v>
      </c>
      <c r="F18" s="197">
        <f t="shared" si="1"/>
        <v>0</v>
      </c>
      <c r="G18" s="197">
        <f t="shared" si="1"/>
        <v>0</v>
      </c>
      <c r="H18" s="197">
        <f t="shared" si="1"/>
        <v>0</v>
      </c>
      <c r="I18" s="197">
        <f t="shared" si="1"/>
        <v>0</v>
      </c>
      <c r="J18" s="197">
        <f t="shared" si="1"/>
        <v>0</v>
      </c>
      <c r="K18" s="197">
        <f t="shared" si="1"/>
        <v>0</v>
      </c>
      <c r="L18" s="197">
        <f t="shared" si="1"/>
        <v>0</v>
      </c>
      <c r="M18" s="197">
        <f t="shared" si="1"/>
        <v>0</v>
      </c>
      <c r="N18" s="197">
        <f t="shared" si="1"/>
        <v>0</v>
      </c>
      <c r="O18" s="197">
        <f t="shared" si="1"/>
        <v>0</v>
      </c>
      <c r="P18" s="73">
        <f>SUM(D18:O18)</f>
        <v>0</v>
      </c>
      <c r="R18"/>
      <c r="S18"/>
      <c r="T18"/>
      <c r="U18"/>
    </row>
    <row r="19" spans="2:21" s="2" customFormat="1" ht="14.85" customHeight="1" thickBot="1" x14ac:dyDescent="0.3">
      <c r="B19" s="126"/>
      <c r="C19" s="473" t="s">
        <v>82</v>
      </c>
      <c r="D19" s="474"/>
      <c r="E19" s="474"/>
      <c r="F19" s="474"/>
      <c r="G19" s="474"/>
      <c r="H19" s="474"/>
      <c r="I19" s="474"/>
      <c r="J19" s="474"/>
      <c r="K19" s="474"/>
      <c r="L19" s="474"/>
      <c r="M19" s="474"/>
      <c r="N19" s="474"/>
      <c r="O19" s="474"/>
      <c r="P19" s="74">
        <f>SUM(D19:O19)</f>
        <v>0</v>
      </c>
      <c r="R19"/>
      <c r="S19"/>
      <c r="T19"/>
      <c r="U19"/>
    </row>
    <row r="20" spans="2:21" s="2" customFormat="1" ht="14.85" customHeight="1" x14ac:dyDescent="0.25">
      <c r="B20" s="126"/>
      <c r="C20" s="472" t="s">
        <v>83</v>
      </c>
      <c r="D20" s="392"/>
      <c r="E20" s="392"/>
      <c r="F20" s="392"/>
      <c r="G20" s="392"/>
      <c r="H20" s="392"/>
      <c r="I20" s="392"/>
      <c r="J20" s="392"/>
      <c r="K20" s="392"/>
      <c r="L20" s="392"/>
      <c r="M20" s="392"/>
      <c r="N20" s="392"/>
      <c r="O20" s="392"/>
      <c r="P20" s="79">
        <f t="shared" ref="P20:P21" si="2">SUM(D20:O20)</f>
        <v>0</v>
      </c>
      <c r="R20"/>
      <c r="S20"/>
      <c r="T20"/>
      <c r="U20"/>
    </row>
    <row r="21" spans="2:21" s="2" customFormat="1" ht="14.85" customHeight="1" x14ac:dyDescent="0.25">
      <c r="B21" s="126"/>
      <c r="C21" s="46" t="s">
        <v>84</v>
      </c>
      <c r="D21" s="197">
        <f t="shared" ref="D21:O21" si="3">D20*$G$5</f>
        <v>0</v>
      </c>
      <c r="E21" s="197">
        <f t="shared" si="3"/>
        <v>0</v>
      </c>
      <c r="F21" s="197">
        <f t="shared" si="3"/>
        <v>0</v>
      </c>
      <c r="G21" s="197">
        <f t="shared" si="3"/>
        <v>0</v>
      </c>
      <c r="H21" s="197">
        <f t="shared" si="3"/>
        <v>0</v>
      </c>
      <c r="I21" s="197">
        <f t="shared" si="3"/>
        <v>0</v>
      </c>
      <c r="J21" s="197">
        <f t="shared" si="3"/>
        <v>0</v>
      </c>
      <c r="K21" s="197">
        <f t="shared" si="3"/>
        <v>0</v>
      </c>
      <c r="L21" s="197">
        <f t="shared" si="3"/>
        <v>0</v>
      </c>
      <c r="M21" s="197">
        <f t="shared" si="3"/>
        <v>0</v>
      </c>
      <c r="N21" s="197">
        <f t="shared" si="3"/>
        <v>0</v>
      </c>
      <c r="O21" s="197">
        <f t="shared" si="3"/>
        <v>0</v>
      </c>
      <c r="P21" s="73">
        <f t="shared" si="2"/>
        <v>0</v>
      </c>
      <c r="R21"/>
      <c r="S21"/>
      <c r="T21"/>
      <c r="U21"/>
    </row>
    <row r="22" spans="2:21" s="2" customFormat="1" ht="14.85" customHeight="1" thickBot="1" x14ac:dyDescent="0.3">
      <c r="B22" s="126"/>
      <c r="C22" s="473" t="s">
        <v>85</v>
      </c>
      <c r="D22" s="474"/>
      <c r="E22" s="474"/>
      <c r="F22" s="474"/>
      <c r="G22" s="474"/>
      <c r="H22" s="474"/>
      <c r="I22" s="474"/>
      <c r="J22" s="474"/>
      <c r="K22" s="474"/>
      <c r="L22" s="474"/>
      <c r="M22" s="474"/>
      <c r="N22" s="474"/>
      <c r="O22" s="474"/>
      <c r="P22" s="74">
        <f>SUM(D22:O22)</f>
        <v>0</v>
      </c>
      <c r="R22"/>
      <c r="S22"/>
      <c r="T22"/>
      <c r="U22"/>
    </row>
    <row r="23" spans="2:21" ht="14.85" customHeight="1" x14ac:dyDescent="0.25">
      <c r="B23" s="126"/>
      <c r="C23" s="472" t="s">
        <v>86</v>
      </c>
      <c r="D23" s="392"/>
      <c r="E23" s="392"/>
      <c r="F23" s="392"/>
      <c r="G23" s="392"/>
      <c r="H23" s="392"/>
      <c r="I23" s="392"/>
      <c r="J23" s="392"/>
      <c r="K23" s="392"/>
      <c r="L23" s="392"/>
      <c r="M23" s="392"/>
      <c r="N23" s="392"/>
      <c r="O23" s="392"/>
      <c r="P23" s="79">
        <f t="shared" ref="P23:P24" si="4">SUM(D23:O23)</f>
        <v>0</v>
      </c>
    </row>
    <row r="24" spans="2:21" ht="14.85" customHeight="1" x14ac:dyDescent="0.25">
      <c r="B24" s="126"/>
      <c r="C24" s="46" t="s">
        <v>87</v>
      </c>
      <c r="D24" s="197">
        <f t="shared" ref="D24:O24" si="5">D23*$G$6</f>
        <v>0</v>
      </c>
      <c r="E24" s="197">
        <f t="shared" si="5"/>
        <v>0</v>
      </c>
      <c r="F24" s="197">
        <f t="shared" si="5"/>
        <v>0</v>
      </c>
      <c r="G24" s="197">
        <f t="shared" si="5"/>
        <v>0</v>
      </c>
      <c r="H24" s="197">
        <f t="shared" si="5"/>
        <v>0</v>
      </c>
      <c r="I24" s="197">
        <f t="shared" si="5"/>
        <v>0</v>
      </c>
      <c r="J24" s="197">
        <f t="shared" si="5"/>
        <v>0</v>
      </c>
      <c r="K24" s="197">
        <f t="shared" si="5"/>
        <v>0</v>
      </c>
      <c r="L24" s="197">
        <f t="shared" si="5"/>
        <v>0</v>
      </c>
      <c r="M24" s="197">
        <f t="shared" si="5"/>
        <v>0</v>
      </c>
      <c r="N24" s="197">
        <f t="shared" si="5"/>
        <v>0</v>
      </c>
      <c r="O24" s="197">
        <f t="shared" si="5"/>
        <v>0</v>
      </c>
      <c r="P24" s="73">
        <f t="shared" si="4"/>
        <v>0</v>
      </c>
    </row>
    <row r="25" spans="2:21" ht="14.85" customHeight="1" thickBot="1" x14ac:dyDescent="0.3">
      <c r="B25" s="126"/>
      <c r="C25" s="473" t="s">
        <v>88</v>
      </c>
      <c r="D25" s="474"/>
      <c r="E25" s="474"/>
      <c r="F25" s="474"/>
      <c r="G25" s="474"/>
      <c r="H25" s="474"/>
      <c r="I25" s="474"/>
      <c r="J25" s="474"/>
      <c r="K25" s="474"/>
      <c r="L25" s="474"/>
      <c r="M25" s="474"/>
      <c r="N25" s="474"/>
      <c r="O25" s="474"/>
      <c r="P25" s="74">
        <f>SUM(D25:O25)</f>
        <v>0</v>
      </c>
    </row>
    <row r="26" spans="2:21" ht="14.85" customHeight="1" x14ac:dyDescent="0.25">
      <c r="B26" s="126"/>
      <c r="C26" s="472" t="s">
        <v>89</v>
      </c>
      <c r="D26" s="392"/>
      <c r="E26" s="392"/>
      <c r="F26" s="392"/>
      <c r="G26" s="392"/>
      <c r="H26" s="392"/>
      <c r="I26" s="392"/>
      <c r="J26" s="392"/>
      <c r="K26" s="392"/>
      <c r="L26" s="392"/>
      <c r="M26" s="392"/>
      <c r="N26" s="392"/>
      <c r="O26" s="392"/>
      <c r="P26" s="79">
        <f t="shared" ref="P26" si="6">SUM(D26:O26)</f>
        <v>0</v>
      </c>
    </row>
    <row r="27" spans="2:21" ht="14.85" customHeight="1" x14ac:dyDescent="0.25">
      <c r="B27" s="126"/>
      <c r="C27" s="46" t="s">
        <v>90</v>
      </c>
      <c r="D27" s="197">
        <f>D26*$G$7</f>
        <v>0</v>
      </c>
      <c r="E27" s="197">
        <f t="shared" ref="E27:O27" si="7">E26*$G$7</f>
        <v>0</v>
      </c>
      <c r="F27" s="197">
        <f t="shared" si="7"/>
        <v>0</v>
      </c>
      <c r="G27" s="197">
        <f t="shared" si="7"/>
        <v>0</v>
      </c>
      <c r="H27" s="197">
        <f t="shared" si="7"/>
        <v>0</v>
      </c>
      <c r="I27" s="197">
        <f t="shared" si="7"/>
        <v>0</v>
      </c>
      <c r="J27" s="197">
        <f t="shared" si="7"/>
        <v>0</v>
      </c>
      <c r="K27" s="197">
        <f t="shared" si="7"/>
        <v>0</v>
      </c>
      <c r="L27" s="197">
        <f t="shared" si="7"/>
        <v>0</v>
      </c>
      <c r="M27" s="197">
        <f t="shared" si="7"/>
        <v>0</v>
      </c>
      <c r="N27" s="197">
        <f t="shared" si="7"/>
        <v>0</v>
      </c>
      <c r="O27" s="197">
        <f t="shared" si="7"/>
        <v>0</v>
      </c>
      <c r="P27" s="73">
        <f t="shared" ref="P27" si="8">SUM(D27:O27)</f>
        <v>0</v>
      </c>
    </row>
    <row r="28" spans="2:21" ht="14.85" customHeight="1" thickBot="1" x14ac:dyDescent="0.3">
      <c r="B28" s="126"/>
      <c r="C28" s="473" t="s">
        <v>91</v>
      </c>
      <c r="D28" s="474"/>
      <c r="E28" s="474"/>
      <c r="F28" s="474"/>
      <c r="G28" s="474"/>
      <c r="H28" s="474"/>
      <c r="I28" s="474"/>
      <c r="J28" s="474"/>
      <c r="K28" s="474"/>
      <c r="L28" s="474"/>
      <c r="M28" s="474"/>
      <c r="N28" s="474"/>
      <c r="O28" s="474"/>
      <c r="P28" s="74">
        <f>SUM(D28:O28)</f>
        <v>0</v>
      </c>
    </row>
    <row r="29" spans="2:21" ht="15.75" thickBot="1" x14ac:dyDescent="0.3">
      <c r="B29" s="126"/>
      <c r="C29" s="490" t="s">
        <v>92</v>
      </c>
      <c r="D29" s="491">
        <f>D24+D25+D21+D22+D27+D28+D18+D19</f>
        <v>0</v>
      </c>
      <c r="E29" s="491">
        <f t="shared" ref="E29:O29" si="9">E24+E25+E21+E22+E27+E28+E18+E19</f>
        <v>0</v>
      </c>
      <c r="F29" s="491">
        <f t="shared" si="9"/>
        <v>0</v>
      </c>
      <c r="G29" s="491">
        <f t="shared" si="9"/>
        <v>0</v>
      </c>
      <c r="H29" s="491">
        <f t="shared" si="9"/>
        <v>0</v>
      </c>
      <c r="I29" s="491">
        <f t="shared" si="9"/>
        <v>0</v>
      </c>
      <c r="J29" s="491">
        <f t="shared" si="9"/>
        <v>0</v>
      </c>
      <c r="K29" s="491">
        <f t="shared" si="9"/>
        <v>0</v>
      </c>
      <c r="L29" s="491">
        <f t="shared" si="9"/>
        <v>0</v>
      </c>
      <c r="M29" s="491">
        <f t="shared" si="9"/>
        <v>0</v>
      </c>
      <c r="N29" s="491">
        <f t="shared" si="9"/>
        <v>0</v>
      </c>
      <c r="O29" s="491">
        <f t="shared" si="9"/>
        <v>0</v>
      </c>
      <c r="P29" s="492">
        <f>SUM(D29:O29)</f>
        <v>0</v>
      </c>
      <c r="Q29" s="90"/>
    </row>
    <row r="30" spans="2:21" ht="15.75" x14ac:dyDescent="0.25">
      <c r="B30" s="126"/>
      <c r="C30" s="476" t="s">
        <v>93</v>
      </c>
      <c r="D30" s="392"/>
      <c r="E30" s="392"/>
      <c r="F30" s="392"/>
      <c r="G30" s="392"/>
      <c r="H30" s="392"/>
      <c r="I30" s="392"/>
      <c r="J30" s="392"/>
      <c r="K30" s="392"/>
      <c r="L30" s="392"/>
      <c r="M30" s="392"/>
      <c r="N30" s="392"/>
      <c r="O30" s="392"/>
      <c r="P30" s="79">
        <f t="shared" ref="P30:P33" si="10">SUM(D30:O30)</f>
        <v>0</v>
      </c>
      <c r="Q30" s="90"/>
    </row>
    <row r="31" spans="2:21" x14ac:dyDescent="0.25">
      <c r="B31" s="126"/>
      <c r="C31" s="112" t="s">
        <v>94</v>
      </c>
      <c r="D31" s="197">
        <f>D30*$G$8</f>
        <v>0</v>
      </c>
      <c r="E31" s="197">
        <f t="shared" ref="E31:O31" si="11">E30*$G$8</f>
        <v>0</v>
      </c>
      <c r="F31" s="197">
        <f t="shared" si="11"/>
        <v>0</v>
      </c>
      <c r="G31" s="197">
        <f t="shared" si="11"/>
        <v>0</v>
      </c>
      <c r="H31" s="197">
        <f t="shared" si="11"/>
        <v>0</v>
      </c>
      <c r="I31" s="197">
        <f t="shared" si="11"/>
        <v>0</v>
      </c>
      <c r="J31" s="197">
        <f t="shared" si="11"/>
        <v>0</v>
      </c>
      <c r="K31" s="197">
        <f t="shared" si="11"/>
        <v>0</v>
      </c>
      <c r="L31" s="197">
        <f t="shared" si="11"/>
        <v>0</v>
      </c>
      <c r="M31" s="197">
        <f t="shared" si="11"/>
        <v>0</v>
      </c>
      <c r="N31" s="197">
        <f t="shared" si="11"/>
        <v>0</v>
      </c>
      <c r="O31" s="197">
        <f t="shared" si="11"/>
        <v>0</v>
      </c>
      <c r="P31" s="73">
        <f t="shared" si="10"/>
        <v>0</v>
      </c>
      <c r="Q31" s="90"/>
    </row>
    <row r="32" spans="2:21" ht="15.75" thickBot="1" x14ac:dyDescent="0.3">
      <c r="B32" s="126"/>
      <c r="C32" s="391" t="s">
        <v>95</v>
      </c>
      <c r="D32" s="474"/>
      <c r="E32" s="474"/>
      <c r="F32" s="474"/>
      <c r="G32" s="474"/>
      <c r="H32" s="474"/>
      <c r="I32" s="474"/>
      <c r="J32" s="474"/>
      <c r="K32" s="474"/>
      <c r="L32" s="474"/>
      <c r="M32" s="474"/>
      <c r="N32" s="474"/>
      <c r="O32" s="474"/>
      <c r="P32" s="74">
        <f>SUM(D32:O32)</f>
        <v>0</v>
      </c>
      <c r="Q32" s="90"/>
    </row>
    <row r="33" spans="2:21" ht="15.75" x14ac:dyDescent="0.25">
      <c r="B33" s="126"/>
      <c r="C33" s="476" t="s">
        <v>96</v>
      </c>
      <c r="D33" s="392"/>
      <c r="E33" s="392"/>
      <c r="F33" s="392"/>
      <c r="G33" s="392"/>
      <c r="H33" s="392"/>
      <c r="I33" s="392"/>
      <c r="J33" s="392"/>
      <c r="K33" s="392"/>
      <c r="L33" s="392"/>
      <c r="M33" s="392"/>
      <c r="N33" s="392"/>
      <c r="O33" s="392"/>
      <c r="P33" s="79">
        <f t="shared" si="10"/>
        <v>0</v>
      </c>
      <c r="Q33" s="90"/>
    </row>
    <row r="34" spans="2:21" ht="14.85" customHeight="1" x14ac:dyDescent="0.25">
      <c r="B34" s="126"/>
      <c r="C34" s="112" t="s">
        <v>97</v>
      </c>
      <c r="D34" s="197">
        <f>D33*$G$8</f>
        <v>0</v>
      </c>
      <c r="E34" s="197">
        <f t="shared" ref="E34:O34" si="12">E33*$G$8</f>
        <v>0</v>
      </c>
      <c r="F34" s="197">
        <f t="shared" si="12"/>
        <v>0</v>
      </c>
      <c r="G34" s="197">
        <f t="shared" si="12"/>
        <v>0</v>
      </c>
      <c r="H34" s="197">
        <f t="shared" si="12"/>
        <v>0</v>
      </c>
      <c r="I34" s="197">
        <f t="shared" si="12"/>
        <v>0</v>
      </c>
      <c r="J34" s="197">
        <f t="shared" si="12"/>
        <v>0</v>
      </c>
      <c r="K34" s="197">
        <f t="shared" si="12"/>
        <v>0</v>
      </c>
      <c r="L34" s="197">
        <f t="shared" si="12"/>
        <v>0</v>
      </c>
      <c r="M34" s="197">
        <f t="shared" si="12"/>
        <v>0</v>
      </c>
      <c r="N34" s="197">
        <f t="shared" si="12"/>
        <v>0</v>
      </c>
      <c r="O34" s="197">
        <f t="shared" si="12"/>
        <v>0</v>
      </c>
      <c r="P34" s="79">
        <f t="shared" ref="P34:P37" si="13">SUM(D34:O34)</f>
        <v>0</v>
      </c>
    </row>
    <row r="35" spans="2:21" ht="14.85" customHeight="1" thickBot="1" x14ac:dyDescent="0.3">
      <c r="B35" s="126"/>
      <c r="C35" s="391" t="s">
        <v>98</v>
      </c>
      <c r="D35" s="474"/>
      <c r="E35" s="474"/>
      <c r="F35" s="474"/>
      <c r="G35" s="474"/>
      <c r="H35" s="474"/>
      <c r="I35" s="474"/>
      <c r="J35" s="474"/>
      <c r="K35" s="474"/>
      <c r="L35" s="474"/>
      <c r="M35" s="474"/>
      <c r="N35" s="474"/>
      <c r="O35" s="474"/>
      <c r="P35" s="74">
        <f>SUM(D35:O35)</f>
        <v>0</v>
      </c>
    </row>
    <row r="36" spans="2:21" ht="14.85" customHeight="1" thickBot="1" x14ac:dyDescent="0.3">
      <c r="B36" s="126"/>
      <c r="C36" s="493" t="s">
        <v>99</v>
      </c>
      <c r="D36" s="491">
        <f>D31+D32+D34+D35</f>
        <v>0</v>
      </c>
      <c r="E36" s="491">
        <f t="shared" ref="E36:O36" si="14">E31+E32+E34+E35</f>
        <v>0</v>
      </c>
      <c r="F36" s="491">
        <f t="shared" si="14"/>
        <v>0</v>
      </c>
      <c r="G36" s="491">
        <f t="shared" si="14"/>
        <v>0</v>
      </c>
      <c r="H36" s="491">
        <f t="shared" si="14"/>
        <v>0</v>
      </c>
      <c r="I36" s="491">
        <f t="shared" si="14"/>
        <v>0</v>
      </c>
      <c r="J36" s="491">
        <f t="shared" si="14"/>
        <v>0</v>
      </c>
      <c r="K36" s="491">
        <f t="shared" si="14"/>
        <v>0</v>
      </c>
      <c r="L36" s="491">
        <f t="shared" si="14"/>
        <v>0</v>
      </c>
      <c r="M36" s="491">
        <f t="shared" si="14"/>
        <v>0</v>
      </c>
      <c r="N36" s="491">
        <f t="shared" si="14"/>
        <v>0</v>
      </c>
      <c r="O36" s="491">
        <f t="shared" si="14"/>
        <v>0</v>
      </c>
      <c r="P36" s="492">
        <f t="shared" si="13"/>
        <v>0</v>
      </c>
    </row>
    <row r="37" spans="2:21" ht="15.75" thickBot="1" x14ac:dyDescent="0.3">
      <c r="B37" s="126"/>
      <c r="C37" s="490" t="s">
        <v>100</v>
      </c>
      <c r="D37" s="491">
        <f>D29+D36</f>
        <v>0</v>
      </c>
      <c r="E37" s="491">
        <f t="shared" ref="E37:O37" si="15">E29+E36</f>
        <v>0</v>
      </c>
      <c r="F37" s="491">
        <f t="shared" si="15"/>
        <v>0</v>
      </c>
      <c r="G37" s="491">
        <f t="shared" si="15"/>
        <v>0</v>
      </c>
      <c r="H37" s="491">
        <f t="shared" si="15"/>
        <v>0</v>
      </c>
      <c r="I37" s="491">
        <f t="shared" si="15"/>
        <v>0</v>
      </c>
      <c r="J37" s="491">
        <f t="shared" si="15"/>
        <v>0</v>
      </c>
      <c r="K37" s="491">
        <f t="shared" si="15"/>
        <v>0</v>
      </c>
      <c r="L37" s="491">
        <f t="shared" si="15"/>
        <v>0</v>
      </c>
      <c r="M37" s="491">
        <f t="shared" si="15"/>
        <v>0</v>
      </c>
      <c r="N37" s="491">
        <f t="shared" si="15"/>
        <v>0</v>
      </c>
      <c r="O37" s="491">
        <f t="shared" si="15"/>
        <v>0</v>
      </c>
      <c r="P37" s="492">
        <f t="shared" si="13"/>
        <v>0</v>
      </c>
    </row>
    <row r="38" spans="2:21" x14ac:dyDescent="0.25">
      <c r="B38" s="126"/>
      <c r="C38" s="494" t="s">
        <v>101</v>
      </c>
      <c r="D38" s="495" t="e">
        <f>D37/b_2022</f>
        <v>#DIV/0!</v>
      </c>
      <c r="E38" s="495" t="e">
        <f t="shared" ref="E38:O38" si="16">E37/b_2022</f>
        <v>#DIV/0!</v>
      </c>
      <c r="F38" s="495" t="e">
        <f t="shared" si="16"/>
        <v>#DIV/0!</v>
      </c>
      <c r="G38" s="495" t="e">
        <f t="shared" si="16"/>
        <v>#DIV/0!</v>
      </c>
      <c r="H38" s="495" t="e">
        <f t="shared" si="16"/>
        <v>#DIV/0!</v>
      </c>
      <c r="I38" s="495" t="e">
        <f t="shared" si="16"/>
        <v>#DIV/0!</v>
      </c>
      <c r="J38" s="495" t="e">
        <f t="shared" si="16"/>
        <v>#DIV/0!</v>
      </c>
      <c r="K38" s="495" t="e">
        <f t="shared" si="16"/>
        <v>#DIV/0!</v>
      </c>
      <c r="L38" s="495" t="e">
        <f t="shared" si="16"/>
        <v>#DIV/0!</v>
      </c>
      <c r="M38" s="495" t="e">
        <f t="shared" si="16"/>
        <v>#DIV/0!</v>
      </c>
      <c r="N38" s="495" t="e">
        <f t="shared" si="16"/>
        <v>#DIV/0!</v>
      </c>
      <c r="O38" s="495" t="e">
        <f t="shared" si="16"/>
        <v>#DIV/0!</v>
      </c>
      <c r="P38" s="70" t="e">
        <f>SUM(D38:O38)</f>
        <v>#DIV/0!</v>
      </c>
    </row>
    <row r="39" spans="2:21" ht="15.75" thickBot="1" x14ac:dyDescent="0.3">
      <c r="B39" s="127"/>
      <c r="C39" s="240" t="s">
        <v>102</v>
      </c>
      <c r="D39" s="167" t="e">
        <f>D29/D37</f>
        <v>#DIV/0!</v>
      </c>
      <c r="E39" s="167" t="e">
        <f t="shared" ref="E39:P39" si="17">E29/E37</f>
        <v>#DIV/0!</v>
      </c>
      <c r="F39" s="167" t="e">
        <f t="shared" si="17"/>
        <v>#DIV/0!</v>
      </c>
      <c r="G39" s="167" t="e">
        <f t="shared" si="17"/>
        <v>#DIV/0!</v>
      </c>
      <c r="H39" s="167" t="e">
        <f t="shared" si="17"/>
        <v>#DIV/0!</v>
      </c>
      <c r="I39" s="167" t="e">
        <f t="shared" si="17"/>
        <v>#DIV/0!</v>
      </c>
      <c r="J39" s="167" t="e">
        <f t="shared" si="17"/>
        <v>#DIV/0!</v>
      </c>
      <c r="K39" s="167" t="e">
        <f t="shared" si="17"/>
        <v>#DIV/0!</v>
      </c>
      <c r="L39" s="167" t="e">
        <f t="shared" si="17"/>
        <v>#DIV/0!</v>
      </c>
      <c r="M39" s="167" t="e">
        <f t="shared" si="17"/>
        <v>#DIV/0!</v>
      </c>
      <c r="N39" s="167" t="e">
        <f t="shared" si="17"/>
        <v>#DIV/0!</v>
      </c>
      <c r="O39" s="167" t="e">
        <f t="shared" si="17"/>
        <v>#DIV/0!</v>
      </c>
      <c r="P39" s="132" t="e">
        <f t="shared" si="17"/>
        <v>#DIV/0!</v>
      </c>
      <c r="Q39" s="118"/>
    </row>
    <row r="40" spans="2:21" ht="14.85" customHeight="1" x14ac:dyDescent="0.25">
      <c r="B40" s="39"/>
      <c r="C40" s="489"/>
      <c r="D40" s="15"/>
      <c r="E40" s="15"/>
      <c r="F40" s="15"/>
      <c r="G40" s="15"/>
      <c r="H40" s="15"/>
      <c r="I40" s="15"/>
      <c r="J40" s="15"/>
      <c r="K40" s="15"/>
      <c r="L40" s="15"/>
      <c r="M40" s="15"/>
      <c r="N40" s="15"/>
      <c r="O40" s="15"/>
      <c r="P40"/>
    </row>
    <row r="41" spans="2:21" ht="15.75" thickBot="1" x14ac:dyDescent="0.3"/>
    <row r="42" spans="2:21" x14ac:dyDescent="0.25">
      <c r="B42" s="613" t="s">
        <v>21</v>
      </c>
      <c r="C42" s="636" t="s">
        <v>22</v>
      </c>
      <c r="D42" s="638" t="s">
        <v>23</v>
      </c>
      <c r="E42" s="610" t="s">
        <v>24</v>
      </c>
      <c r="F42" s="610" t="s">
        <v>25</v>
      </c>
      <c r="G42" s="610" t="s">
        <v>26</v>
      </c>
      <c r="H42" s="610" t="s">
        <v>27</v>
      </c>
      <c r="I42" s="610" t="s">
        <v>28</v>
      </c>
      <c r="J42" s="610" t="s">
        <v>29</v>
      </c>
      <c r="K42" s="610" t="s">
        <v>30</v>
      </c>
      <c r="L42" s="610" t="s">
        <v>31</v>
      </c>
      <c r="M42" s="610" t="s">
        <v>32</v>
      </c>
      <c r="N42" s="610" t="s">
        <v>33</v>
      </c>
      <c r="O42" s="639" t="s">
        <v>34</v>
      </c>
      <c r="P42" s="613" t="s">
        <v>35</v>
      </c>
    </row>
    <row r="43" spans="2:21" ht="15.75" thickBot="1" x14ac:dyDescent="0.3">
      <c r="B43" s="615"/>
      <c r="C43" s="637"/>
      <c r="D43" s="628"/>
      <c r="E43" s="612"/>
      <c r="F43" s="612"/>
      <c r="G43" s="612"/>
      <c r="H43" s="612"/>
      <c r="I43" s="612"/>
      <c r="J43" s="612"/>
      <c r="K43" s="612"/>
      <c r="L43" s="612"/>
      <c r="M43" s="612"/>
      <c r="N43" s="612"/>
      <c r="O43" s="640"/>
      <c r="P43" s="615"/>
    </row>
    <row r="44" spans="2:21" ht="14.85" customHeight="1" x14ac:dyDescent="0.25">
      <c r="B44" s="125">
        <f>ÜLDANDMED!D10</f>
        <v>2023</v>
      </c>
      <c r="C44" s="131" t="s">
        <v>80</v>
      </c>
      <c r="D44" s="364"/>
      <c r="E44" s="364"/>
      <c r="F44" s="364"/>
      <c r="G44" s="364"/>
      <c r="H44" s="364"/>
      <c r="I44" s="364"/>
      <c r="J44" s="364"/>
      <c r="K44" s="364"/>
      <c r="L44" s="364"/>
      <c r="M44" s="364"/>
      <c r="N44" s="364"/>
      <c r="O44" s="364"/>
      <c r="P44" s="73">
        <f>SUM(D44:O44)</f>
        <v>0</v>
      </c>
    </row>
    <row r="45" spans="2:21" s="2" customFormat="1" ht="14.85" customHeight="1" x14ac:dyDescent="0.2">
      <c r="B45" s="126"/>
      <c r="C45" s="46" t="s">
        <v>81</v>
      </c>
      <c r="D45" s="197">
        <f>D44*$G$4</f>
        <v>0</v>
      </c>
      <c r="E45" s="197">
        <f t="shared" ref="E45:O45" si="18">E44*$G$4</f>
        <v>0</v>
      </c>
      <c r="F45" s="197">
        <f t="shared" si="18"/>
        <v>0</v>
      </c>
      <c r="G45" s="197">
        <f t="shared" si="18"/>
        <v>0</v>
      </c>
      <c r="H45" s="197">
        <f t="shared" si="18"/>
        <v>0</v>
      </c>
      <c r="I45" s="197">
        <f t="shared" si="18"/>
        <v>0</v>
      </c>
      <c r="J45" s="197">
        <f t="shared" si="18"/>
        <v>0</v>
      </c>
      <c r="K45" s="197">
        <f t="shared" si="18"/>
        <v>0</v>
      </c>
      <c r="L45" s="197">
        <f t="shared" si="18"/>
        <v>0</v>
      </c>
      <c r="M45" s="197">
        <f t="shared" si="18"/>
        <v>0</v>
      </c>
      <c r="N45" s="197">
        <f t="shared" si="18"/>
        <v>0</v>
      </c>
      <c r="O45" s="197">
        <f t="shared" si="18"/>
        <v>0</v>
      </c>
      <c r="P45" s="73">
        <f>SUM(D45:O45)</f>
        <v>0</v>
      </c>
    </row>
    <row r="46" spans="2:21" s="2" customFormat="1" ht="14.85" customHeight="1" thickBot="1" x14ac:dyDescent="0.3">
      <c r="B46" s="126"/>
      <c r="C46" s="473" t="s">
        <v>82</v>
      </c>
      <c r="D46" s="474"/>
      <c r="E46" s="474"/>
      <c r="F46" s="474"/>
      <c r="G46" s="474"/>
      <c r="H46" s="474"/>
      <c r="I46" s="474"/>
      <c r="J46" s="474"/>
      <c r="K46" s="474"/>
      <c r="L46" s="474"/>
      <c r="M46" s="474"/>
      <c r="N46" s="474"/>
      <c r="O46" s="474"/>
      <c r="P46" s="74">
        <f>SUM(D46:O46)</f>
        <v>0</v>
      </c>
      <c r="R46"/>
      <c r="S46"/>
      <c r="T46"/>
      <c r="U46"/>
    </row>
    <row r="47" spans="2:21" s="2" customFormat="1" ht="14.85" customHeight="1" x14ac:dyDescent="0.25">
      <c r="B47" s="126"/>
      <c r="C47" s="131" t="s">
        <v>83</v>
      </c>
      <c r="D47" s="364"/>
      <c r="E47" s="364"/>
      <c r="F47" s="364"/>
      <c r="G47" s="364"/>
      <c r="H47" s="364"/>
      <c r="I47" s="364"/>
      <c r="J47" s="364"/>
      <c r="K47" s="364"/>
      <c r="L47" s="364"/>
      <c r="M47" s="364"/>
      <c r="N47" s="364"/>
      <c r="O47" s="364"/>
      <c r="P47" s="73">
        <f t="shared" ref="P47:P48" si="19">SUM(D47:O47)</f>
        <v>0</v>
      </c>
      <c r="R47"/>
      <c r="S47"/>
      <c r="T47"/>
      <c r="U47"/>
    </row>
    <row r="48" spans="2:21" s="2" customFormat="1" ht="14.85" customHeight="1" x14ac:dyDescent="0.25">
      <c r="B48" s="106"/>
      <c r="C48" s="46" t="s">
        <v>84</v>
      </c>
      <c r="D48" s="197">
        <f>D47*$G$5</f>
        <v>0</v>
      </c>
      <c r="E48" s="197">
        <f t="shared" ref="E48:O48" si="20">E47*$G$5</f>
        <v>0</v>
      </c>
      <c r="F48" s="197">
        <f t="shared" si="20"/>
        <v>0</v>
      </c>
      <c r="G48" s="197">
        <f t="shared" si="20"/>
        <v>0</v>
      </c>
      <c r="H48" s="197">
        <f t="shared" si="20"/>
        <v>0</v>
      </c>
      <c r="I48" s="197">
        <f t="shared" si="20"/>
        <v>0</v>
      </c>
      <c r="J48" s="197">
        <f t="shared" si="20"/>
        <v>0</v>
      </c>
      <c r="K48" s="197">
        <f t="shared" si="20"/>
        <v>0</v>
      </c>
      <c r="L48" s="197">
        <f t="shared" si="20"/>
        <v>0</v>
      </c>
      <c r="M48" s="197">
        <f t="shared" si="20"/>
        <v>0</v>
      </c>
      <c r="N48" s="197">
        <f t="shared" si="20"/>
        <v>0</v>
      </c>
      <c r="O48" s="197">
        <f t="shared" si="20"/>
        <v>0</v>
      </c>
      <c r="P48" s="73">
        <f t="shared" si="19"/>
        <v>0</v>
      </c>
      <c r="R48"/>
      <c r="S48"/>
      <c r="T48"/>
      <c r="U48"/>
    </row>
    <row r="49" spans="2:21" s="2" customFormat="1" ht="14.85" customHeight="1" thickBot="1" x14ac:dyDescent="0.3">
      <c r="B49" s="126"/>
      <c r="C49" s="473" t="s">
        <v>85</v>
      </c>
      <c r="D49" s="474"/>
      <c r="E49" s="474"/>
      <c r="F49" s="474"/>
      <c r="G49" s="474"/>
      <c r="H49" s="474"/>
      <c r="I49" s="474"/>
      <c r="J49" s="474"/>
      <c r="K49" s="474"/>
      <c r="L49" s="474"/>
      <c r="M49" s="474"/>
      <c r="N49" s="474"/>
      <c r="O49" s="474"/>
      <c r="P49" s="74">
        <f>SUM(D49:O49)</f>
        <v>0</v>
      </c>
      <c r="R49"/>
      <c r="S49"/>
      <c r="T49"/>
      <c r="U49"/>
    </row>
    <row r="50" spans="2:21" ht="14.85" customHeight="1" x14ac:dyDescent="0.25">
      <c r="B50" s="106"/>
      <c r="C50" s="131" t="s">
        <v>86</v>
      </c>
      <c r="D50" s="364"/>
      <c r="E50" s="364"/>
      <c r="F50" s="364"/>
      <c r="G50" s="364"/>
      <c r="H50" s="364"/>
      <c r="I50" s="364"/>
      <c r="J50" s="364"/>
      <c r="K50" s="364"/>
      <c r="L50" s="364"/>
      <c r="M50" s="364"/>
      <c r="N50" s="364"/>
      <c r="O50" s="364"/>
      <c r="P50" s="73">
        <f t="shared" ref="P50:P51" si="21">SUM(D50:O50)</f>
        <v>0</v>
      </c>
    </row>
    <row r="51" spans="2:21" ht="14.85" customHeight="1" x14ac:dyDescent="0.25">
      <c r="B51" s="126"/>
      <c r="C51" s="46" t="s">
        <v>87</v>
      </c>
      <c r="D51" s="197">
        <f>D50*$G$6</f>
        <v>0</v>
      </c>
      <c r="E51" s="197">
        <f t="shared" ref="E51:O51" si="22">E50*$G$6</f>
        <v>0</v>
      </c>
      <c r="F51" s="197">
        <f t="shared" si="22"/>
        <v>0</v>
      </c>
      <c r="G51" s="197">
        <f t="shared" si="22"/>
        <v>0</v>
      </c>
      <c r="H51" s="197">
        <f t="shared" si="22"/>
        <v>0</v>
      </c>
      <c r="I51" s="197">
        <f t="shared" si="22"/>
        <v>0</v>
      </c>
      <c r="J51" s="197">
        <f t="shared" si="22"/>
        <v>0</v>
      </c>
      <c r="K51" s="197">
        <f t="shared" si="22"/>
        <v>0</v>
      </c>
      <c r="L51" s="197">
        <f t="shared" si="22"/>
        <v>0</v>
      </c>
      <c r="M51" s="197">
        <f t="shared" si="22"/>
        <v>0</v>
      </c>
      <c r="N51" s="197">
        <f t="shared" si="22"/>
        <v>0</v>
      </c>
      <c r="O51" s="197">
        <f t="shared" si="22"/>
        <v>0</v>
      </c>
      <c r="P51" s="73">
        <f t="shared" si="21"/>
        <v>0</v>
      </c>
    </row>
    <row r="52" spans="2:21" ht="14.85" customHeight="1" thickBot="1" x14ac:dyDescent="0.3">
      <c r="B52" s="126"/>
      <c r="C52" s="473" t="s">
        <v>88</v>
      </c>
      <c r="D52" s="474"/>
      <c r="E52" s="474"/>
      <c r="F52" s="474"/>
      <c r="G52" s="474"/>
      <c r="H52" s="474"/>
      <c r="I52" s="474"/>
      <c r="J52" s="474"/>
      <c r="K52" s="474"/>
      <c r="L52" s="474"/>
      <c r="M52" s="474"/>
      <c r="N52" s="474"/>
      <c r="O52" s="474"/>
      <c r="P52" s="74">
        <f>SUM(D52:O52)</f>
        <v>0</v>
      </c>
    </row>
    <row r="53" spans="2:21" ht="14.85" customHeight="1" x14ac:dyDescent="0.25">
      <c r="B53" s="126"/>
      <c r="C53" s="131" t="s">
        <v>89</v>
      </c>
      <c r="D53" s="364"/>
      <c r="E53" s="364"/>
      <c r="F53" s="364"/>
      <c r="G53" s="364"/>
      <c r="H53" s="364"/>
      <c r="I53" s="364"/>
      <c r="J53" s="364"/>
      <c r="K53" s="364"/>
      <c r="L53" s="364"/>
      <c r="M53" s="364"/>
      <c r="N53" s="364"/>
      <c r="O53" s="364"/>
      <c r="P53" s="73">
        <f t="shared" ref="P53" si="23">SUM(D53:O53)</f>
        <v>0</v>
      </c>
    </row>
    <row r="54" spans="2:21" ht="14.85" customHeight="1" x14ac:dyDescent="0.25">
      <c r="B54" s="126"/>
      <c r="C54" s="46" t="s">
        <v>90</v>
      </c>
      <c r="D54" s="197">
        <f>D53*$G$7</f>
        <v>0</v>
      </c>
      <c r="E54" s="197">
        <f t="shared" ref="E54:O54" si="24">E53*$G$7</f>
        <v>0</v>
      </c>
      <c r="F54" s="197">
        <f t="shared" si="24"/>
        <v>0</v>
      </c>
      <c r="G54" s="197">
        <f t="shared" si="24"/>
        <v>0</v>
      </c>
      <c r="H54" s="197">
        <f t="shared" si="24"/>
        <v>0</v>
      </c>
      <c r="I54" s="197">
        <f t="shared" si="24"/>
        <v>0</v>
      </c>
      <c r="J54" s="197">
        <f t="shared" si="24"/>
        <v>0</v>
      </c>
      <c r="K54" s="197">
        <f t="shared" si="24"/>
        <v>0</v>
      </c>
      <c r="L54" s="197">
        <f t="shared" si="24"/>
        <v>0</v>
      </c>
      <c r="M54" s="197">
        <f t="shared" si="24"/>
        <v>0</v>
      </c>
      <c r="N54" s="197">
        <f t="shared" si="24"/>
        <v>0</v>
      </c>
      <c r="O54" s="197">
        <f t="shared" si="24"/>
        <v>0</v>
      </c>
      <c r="P54" s="73">
        <f t="shared" ref="P54" si="25">SUM(D54:O54)</f>
        <v>0</v>
      </c>
    </row>
    <row r="55" spans="2:21" ht="14.85" customHeight="1" thickBot="1" x14ac:dyDescent="0.3">
      <c r="B55" s="126"/>
      <c r="C55" s="473" t="s">
        <v>91</v>
      </c>
      <c r="D55" s="474"/>
      <c r="E55" s="474"/>
      <c r="F55" s="474"/>
      <c r="G55" s="474"/>
      <c r="H55" s="474"/>
      <c r="I55" s="474"/>
      <c r="J55" s="474"/>
      <c r="K55" s="474"/>
      <c r="L55" s="474"/>
      <c r="M55" s="474"/>
      <c r="N55" s="474"/>
      <c r="O55" s="474"/>
      <c r="P55" s="74">
        <f>SUM(D55:O55)</f>
        <v>0</v>
      </c>
    </row>
    <row r="56" spans="2:21" ht="15.75" thickBot="1" x14ac:dyDescent="0.3">
      <c r="B56" s="126"/>
      <c r="C56" s="490" t="s">
        <v>92</v>
      </c>
      <c r="D56" s="491">
        <f>D51+D52+D48+D49+D54+D55+D45+D46</f>
        <v>0</v>
      </c>
      <c r="E56" s="491">
        <f t="shared" ref="E56:O56" si="26">E51+E52+E48+E49+E54+E55+E45+E46</f>
        <v>0</v>
      </c>
      <c r="F56" s="491">
        <f t="shared" si="26"/>
        <v>0</v>
      </c>
      <c r="G56" s="491">
        <f t="shared" si="26"/>
        <v>0</v>
      </c>
      <c r="H56" s="491">
        <f t="shared" si="26"/>
        <v>0</v>
      </c>
      <c r="I56" s="491">
        <f t="shared" si="26"/>
        <v>0</v>
      </c>
      <c r="J56" s="491">
        <f t="shared" si="26"/>
        <v>0</v>
      </c>
      <c r="K56" s="491">
        <f t="shared" si="26"/>
        <v>0</v>
      </c>
      <c r="L56" s="491">
        <f t="shared" si="26"/>
        <v>0</v>
      </c>
      <c r="M56" s="491">
        <f t="shared" si="26"/>
        <v>0</v>
      </c>
      <c r="N56" s="491">
        <f t="shared" si="26"/>
        <v>0</v>
      </c>
      <c r="O56" s="491">
        <f t="shared" si="26"/>
        <v>0</v>
      </c>
      <c r="P56" s="492">
        <f>SUM(D56:O56)</f>
        <v>0</v>
      </c>
    </row>
    <row r="57" spans="2:21" ht="15.75" x14ac:dyDescent="0.25">
      <c r="B57" s="126"/>
      <c r="C57" s="476" t="s">
        <v>93</v>
      </c>
      <c r="D57" s="392"/>
      <c r="E57" s="392"/>
      <c r="F57" s="392"/>
      <c r="G57" s="392"/>
      <c r="H57" s="392"/>
      <c r="I57" s="392"/>
      <c r="J57" s="392"/>
      <c r="K57" s="392"/>
      <c r="L57" s="392"/>
      <c r="M57" s="392"/>
      <c r="N57" s="392"/>
      <c r="O57" s="392"/>
      <c r="P57" s="79">
        <f t="shared" ref="P57:P61" si="27">SUM(D57:O57)</f>
        <v>0</v>
      </c>
      <c r="Q57" s="90"/>
    </row>
    <row r="58" spans="2:21" x14ac:dyDescent="0.25">
      <c r="B58" s="126"/>
      <c r="C58" s="112" t="s">
        <v>94</v>
      </c>
      <c r="D58" s="197">
        <f>D57*$G$8</f>
        <v>0</v>
      </c>
      <c r="E58" s="197">
        <f t="shared" ref="E58" si="28">E57*$G$8</f>
        <v>0</v>
      </c>
      <c r="F58" s="197">
        <f t="shared" ref="F58" si="29">F57*$G$8</f>
        <v>0</v>
      </c>
      <c r="G58" s="197">
        <f t="shared" ref="G58" si="30">G57*$G$8</f>
        <v>0</v>
      </c>
      <c r="H58" s="197">
        <f t="shared" ref="H58" si="31">H57*$G$8</f>
        <v>0</v>
      </c>
      <c r="I58" s="197">
        <f t="shared" ref="I58" si="32">I57*$G$8</f>
        <v>0</v>
      </c>
      <c r="J58" s="197">
        <f t="shared" ref="J58" si="33">J57*$G$8</f>
        <v>0</v>
      </c>
      <c r="K58" s="197">
        <f t="shared" ref="K58" si="34">K57*$G$8</f>
        <v>0</v>
      </c>
      <c r="L58" s="197">
        <f t="shared" ref="L58" si="35">L57*$G$8</f>
        <v>0</v>
      </c>
      <c r="M58" s="197">
        <f t="shared" ref="M58" si="36">M57*$G$8</f>
        <v>0</v>
      </c>
      <c r="N58" s="197">
        <f t="shared" ref="N58" si="37">N57*$G$8</f>
        <v>0</v>
      </c>
      <c r="O58" s="197">
        <f t="shared" ref="O58" si="38">O57*$G$8</f>
        <v>0</v>
      </c>
      <c r="P58" s="73">
        <f t="shared" si="27"/>
        <v>0</v>
      </c>
      <c r="Q58" s="90"/>
    </row>
    <row r="59" spans="2:21" ht="15.75" thickBot="1" x14ac:dyDescent="0.3">
      <c r="B59" s="126"/>
      <c r="C59" s="391" t="s">
        <v>95</v>
      </c>
      <c r="D59" s="474"/>
      <c r="E59" s="474"/>
      <c r="F59" s="474"/>
      <c r="G59" s="474"/>
      <c r="H59" s="474"/>
      <c r="I59" s="474"/>
      <c r="J59" s="474"/>
      <c r="K59" s="474"/>
      <c r="L59" s="474"/>
      <c r="M59" s="474"/>
      <c r="N59" s="474"/>
      <c r="O59" s="474"/>
      <c r="P59" s="74">
        <f>SUM(D59:O59)</f>
        <v>0</v>
      </c>
      <c r="Q59" s="90"/>
    </row>
    <row r="60" spans="2:21" ht="15.75" x14ac:dyDescent="0.25">
      <c r="B60" s="126"/>
      <c r="C60" s="476" t="s">
        <v>96</v>
      </c>
      <c r="D60" s="364"/>
      <c r="E60" s="364"/>
      <c r="F60" s="364"/>
      <c r="G60" s="364"/>
      <c r="H60" s="364"/>
      <c r="I60" s="364"/>
      <c r="J60" s="364"/>
      <c r="K60" s="364"/>
      <c r="L60" s="364"/>
      <c r="M60" s="364"/>
      <c r="N60" s="364"/>
      <c r="O60" s="364"/>
      <c r="P60" s="73">
        <f t="shared" si="27"/>
        <v>0</v>
      </c>
      <c r="Q60" s="90"/>
    </row>
    <row r="61" spans="2:21" ht="14.85" customHeight="1" x14ac:dyDescent="0.25">
      <c r="B61" s="126"/>
      <c r="C61" s="112" t="s">
        <v>97</v>
      </c>
      <c r="D61" s="197">
        <f>D60*$G$8</f>
        <v>0</v>
      </c>
      <c r="E61" s="197">
        <f t="shared" ref="E61" si="39">E60*$G$8</f>
        <v>0</v>
      </c>
      <c r="F61" s="197">
        <f t="shared" ref="F61" si="40">F60*$G$8</f>
        <v>0</v>
      </c>
      <c r="G61" s="197">
        <f t="shared" ref="G61" si="41">G60*$G$8</f>
        <v>0</v>
      </c>
      <c r="H61" s="197">
        <f t="shared" ref="H61" si="42">H60*$G$8</f>
        <v>0</v>
      </c>
      <c r="I61" s="197">
        <f t="shared" ref="I61" si="43">I60*$G$8</f>
        <v>0</v>
      </c>
      <c r="J61" s="197">
        <f t="shared" ref="J61" si="44">J60*$G$8</f>
        <v>0</v>
      </c>
      <c r="K61" s="197">
        <f t="shared" ref="K61" si="45">K60*$G$8</f>
        <v>0</v>
      </c>
      <c r="L61" s="197">
        <f t="shared" ref="L61" si="46">L60*$G$8</f>
        <v>0</v>
      </c>
      <c r="M61" s="197">
        <f t="shared" ref="M61" si="47">M60*$G$8</f>
        <v>0</v>
      </c>
      <c r="N61" s="197">
        <f t="shared" ref="N61" si="48">N60*$G$8</f>
        <v>0</v>
      </c>
      <c r="O61" s="197">
        <f t="shared" ref="O61" si="49">O60*$G$8</f>
        <v>0</v>
      </c>
      <c r="P61" s="79">
        <f t="shared" si="27"/>
        <v>0</v>
      </c>
    </row>
    <row r="62" spans="2:21" ht="14.85" customHeight="1" thickBot="1" x14ac:dyDescent="0.3">
      <c r="B62" s="126"/>
      <c r="C62" s="391" t="s">
        <v>98</v>
      </c>
      <c r="D62" s="474"/>
      <c r="E62" s="474"/>
      <c r="F62" s="474"/>
      <c r="G62" s="474"/>
      <c r="H62" s="474"/>
      <c r="I62" s="474"/>
      <c r="J62" s="474"/>
      <c r="K62" s="474"/>
      <c r="L62" s="474"/>
      <c r="M62" s="474"/>
      <c r="N62" s="474"/>
      <c r="O62" s="474"/>
      <c r="P62" s="74">
        <f>SUM(D62:O62)</f>
        <v>0</v>
      </c>
    </row>
    <row r="63" spans="2:21" ht="14.85" customHeight="1" thickBot="1" x14ac:dyDescent="0.3">
      <c r="B63" s="126"/>
      <c r="C63" s="493" t="s">
        <v>99</v>
      </c>
      <c r="D63" s="491">
        <f>D58+D59+D61+D62</f>
        <v>0</v>
      </c>
      <c r="E63" s="491">
        <f t="shared" ref="E63:O63" si="50">E58+E59+E61+E62</f>
        <v>0</v>
      </c>
      <c r="F63" s="491">
        <f t="shared" si="50"/>
        <v>0</v>
      </c>
      <c r="G63" s="491">
        <f t="shared" si="50"/>
        <v>0</v>
      </c>
      <c r="H63" s="491">
        <f t="shared" si="50"/>
        <v>0</v>
      </c>
      <c r="I63" s="491">
        <f t="shared" si="50"/>
        <v>0</v>
      </c>
      <c r="J63" s="491">
        <f t="shared" si="50"/>
        <v>0</v>
      </c>
      <c r="K63" s="491">
        <f t="shared" si="50"/>
        <v>0</v>
      </c>
      <c r="L63" s="491">
        <f t="shared" si="50"/>
        <v>0</v>
      </c>
      <c r="M63" s="491">
        <f t="shared" si="50"/>
        <v>0</v>
      </c>
      <c r="N63" s="491">
        <f t="shared" si="50"/>
        <v>0</v>
      </c>
      <c r="O63" s="491">
        <f t="shared" si="50"/>
        <v>0</v>
      </c>
      <c r="P63" s="492">
        <f t="shared" ref="P63:P65" si="51">SUM(D63:O63)</f>
        <v>0</v>
      </c>
    </row>
    <row r="64" spans="2:21" ht="15.75" thickBot="1" x14ac:dyDescent="0.3">
      <c r="B64" s="126"/>
      <c r="C64" s="490" t="s">
        <v>100</v>
      </c>
      <c r="D64" s="491">
        <f t="shared" ref="D64:O64" si="52">D56+D63</f>
        <v>0</v>
      </c>
      <c r="E64" s="491">
        <f t="shared" si="52"/>
        <v>0</v>
      </c>
      <c r="F64" s="491">
        <f t="shared" si="52"/>
        <v>0</v>
      </c>
      <c r="G64" s="491">
        <f t="shared" si="52"/>
        <v>0</v>
      </c>
      <c r="H64" s="491">
        <f t="shared" si="52"/>
        <v>0</v>
      </c>
      <c r="I64" s="491">
        <f t="shared" si="52"/>
        <v>0</v>
      </c>
      <c r="J64" s="491">
        <f t="shared" si="52"/>
        <v>0</v>
      </c>
      <c r="K64" s="491">
        <f t="shared" si="52"/>
        <v>0</v>
      </c>
      <c r="L64" s="491">
        <f t="shared" si="52"/>
        <v>0</v>
      </c>
      <c r="M64" s="491">
        <f t="shared" si="52"/>
        <v>0</v>
      </c>
      <c r="N64" s="491">
        <f t="shared" si="52"/>
        <v>0</v>
      </c>
      <c r="O64" s="491">
        <f t="shared" si="52"/>
        <v>0</v>
      </c>
      <c r="P64" s="492">
        <f t="shared" si="51"/>
        <v>0</v>
      </c>
    </row>
    <row r="65" spans="2:21" x14ac:dyDescent="0.25">
      <c r="B65" s="126"/>
      <c r="C65" s="494" t="s">
        <v>101</v>
      </c>
      <c r="D65" s="475" t="e">
        <f t="shared" ref="D65:O65" si="53">D64/b_2023</f>
        <v>#DIV/0!</v>
      </c>
      <c r="E65" s="475" t="e">
        <f t="shared" si="53"/>
        <v>#DIV/0!</v>
      </c>
      <c r="F65" s="475" t="e">
        <f t="shared" si="53"/>
        <v>#DIV/0!</v>
      </c>
      <c r="G65" s="475" t="e">
        <f t="shared" si="53"/>
        <v>#DIV/0!</v>
      </c>
      <c r="H65" s="475" t="e">
        <f t="shared" si="53"/>
        <v>#DIV/0!</v>
      </c>
      <c r="I65" s="475" t="e">
        <f t="shared" si="53"/>
        <v>#DIV/0!</v>
      </c>
      <c r="J65" s="475" t="e">
        <f t="shared" si="53"/>
        <v>#DIV/0!</v>
      </c>
      <c r="K65" s="475" t="e">
        <f t="shared" si="53"/>
        <v>#DIV/0!</v>
      </c>
      <c r="L65" s="475" t="e">
        <f t="shared" si="53"/>
        <v>#DIV/0!</v>
      </c>
      <c r="M65" s="475" t="e">
        <f t="shared" si="53"/>
        <v>#DIV/0!</v>
      </c>
      <c r="N65" s="475" t="e">
        <f t="shared" si="53"/>
        <v>#DIV/0!</v>
      </c>
      <c r="O65" s="475" t="e">
        <f t="shared" si="53"/>
        <v>#DIV/0!</v>
      </c>
      <c r="P65" s="79" t="e">
        <f t="shared" si="51"/>
        <v>#DIV/0!</v>
      </c>
    </row>
    <row r="66" spans="2:21" ht="15.75" thickBot="1" x14ac:dyDescent="0.3">
      <c r="B66" s="127"/>
      <c r="C66" s="240" t="s">
        <v>102</v>
      </c>
      <c r="D66" s="167" t="e">
        <f t="shared" ref="D66:P66" si="54">D56/D64</f>
        <v>#DIV/0!</v>
      </c>
      <c r="E66" s="167" t="e">
        <f t="shared" si="54"/>
        <v>#DIV/0!</v>
      </c>
      <c r="F66" s="167" t="e">
        <f t="shared" si="54"/>
        <v>#DIV/0!</v>
      </c>
      <c r="G66" s="167" t="e">
        <f t="shared" si="54"/>
        <v>#DIV/0!</v>
      </c>
      <c r="H66" s="167" t="e">
        <f t="shared" si="54"/>
        <v>#DIV/0!</v>
      </c>
      <c r="I66" s="167" t="e">
        <f t="shared" si="54"/>
        <v>#DIV/0!</v>
      </c>
      <c r="J66" s="167" t="e">
        <f t="shared" si="54"/>
        <v>#DIV/0!</v>
      </c>
      <c r="K66" s="167" t="e">
        <f t="shared" si="54"/>
        <v>#DIV/0!</v>
      </c>
      <c r="L66" s="167" t="e">
        <f t="shared" si="54"/>
        <v>#DIV/0!</v>
      </c>
      <c r="M66" s="167" t="e">
        <f t="shared" si="54"/>
        <v>#DIV/0!</v>
      </c>
      <c r="N66" s="167" t="e">
        <f t="shared" si="54"/>
        <v>#DIV/0!</v>
      </c>
      <c r="O66" s="167" t="e">
        <f t="shared" si="54"/>
        <v>#DIV/0!</v>
      </c>
      <c r="P66" s="132" t="e">
        <f t="shared" si="54"/>
        <v>#DIV/0!</v>
      </c>
      <c r="Q66" s="118"/>
    </row>
    <row r="67" spans="2:21" ht="14.85" customHeight="1" x14ac:dyDescent="0.25">
      <c r="B67" s="58"/>
      <c r="C67" s="59"/>
      <c r="D67" s="15"/>
      <c r="E67" s="15"/>
      <c r="F67" s="15"/>
      <c r="G67" s="15"/>
      <c r="H67" s="15"/>
      <c r="I67" s="15"/>
      <c r="J67" s="15"/>
      <c r="K67" s="15"/>
      <c r="L67" s="15"/>
      <c r="M67" s="15"/>
      <c r="N67" s="15"/>
      <c r="O67" s="15"/>
      <c r="P67"/>
    </row>
    <row r="68" spans="2:21" ht="15.75" thickBot="1" x14ac:dyDescent="0.3"/>
    <row r="69" spans="2:21" x14ac:dyDescent="0.25">
      <c r="B69" s="613" t="s">
        <v>21</v>
      </c>
      <c r="C69" s="636" t="s">
        <v>22</v>
      </c>
      <c r="D69" s="638" t="s">
        <v>23</v>
      </c>
      <c r="E69" s="610" t="s">
        <v>24</v>
      </c>
      <c r="F69" s="610" t="s">
        <v>25</v>
      </c>
      <c r="G69" s="610" t="s">
        <v>26</v>
      </c>
      <c r="H69" s="610" t="s">
        <v>27</v>
      </c>
      <c r="I69" s="610" t="s">
        <v>28</v>
      </c>
      <c r="J69" s="610" t="s">
        <v>29</v>
      </c>
      <c r="K69" s="610" t="s">
        <v>30</v>
      </c>
      <c r="L69" s="610" t="s">
        <v>31</v>
      </c>
      <c r="M69" s="610" t="s">
        <v>32</v>
      </c>
      <c r="N69" s="610" t="s">
        <v>33</v>
      </c>
      <c r="O69" s="639" t="s">
        <v>34</v>
      </c>
      <c r="P69" s="613" t="s">
        <v>35</v>
      </c>
    </row>
    <row r="70" spans="2:21" ht="15.75" thickBot="1" x14ac:dyDescent="0.3">
      <c r="B70" s="615"/>
      <c r="C70" s="637"/>
      <c r="D70" s="628"/>
      <c r="E70" s="612"/>
      <c r="F70" s="612"/>
      <c r="G70" s="612"/>
      <c r="H70" s="612"/>
      <c r="I70" s="612"/>
      <c r="J70" s="612"/>
      <c r="K70" s="612"/>
      <c r="L70" s="612"/>
      <c r="M70" s="612"/>
      <c r="N70" s="612"/>
      <c r="O70" s="640"/>
      <c r="P70" s="615"/>
    </row>
    <row r="71" spans="2:21" ht="14.85" customHeight="1" x14ac:dyDescent="0.25">
      <c r="B71" s="126">
        <f>ÜLDANDMED!E10</f>
        <v>2024</v>
      </c>
      <c r="C71" s="131" t="s">
        <v>80</v>
      </c>
      <c r="D71" s="364"/>
      <c r="E71" s="364"/>
      <c r="F71" s="364"/>
      <c r="G71" s="364"/>
      <c r="H71" s="364"/>
      <c r="I71" s="364"/>
      <c r="J71" s="364"/>
      <c r="K71" s="364"/>
      <c r="L71" s="364"/>
      <c r="M71" s="364"/>
      <c r="N71" s="364"/>
      <c r="O71" s="364"/>
      <c r="P71" s="73">
        <f>SUM(D71:O71)</f>
        <v>0</v>
      </c>
    </row>
    <row r="72" spans="2:21" s="2" customFormat="1" ht="14.85" customHeight="1" x14ac:dyDescent="0.2">
      <c r="B72" s="140"/>
      <c r="C72" s="46" t="s">
        <v>81</v>
      </c>
      <c r="D72" s="197">
        <f>D71*$G$4</f>
        <v>0</v>
      </c>
      <c r="E72" s="197">
        <f t="shared" ref="E72" si="55">E71*$G$4</f>
        <v>0</v>
      </c>
      <c r="F72" s="197">
        <f t="shared" ref="F72" si="56">F71*$G$4</f>
        <v>0</v>
      </c>
      <c r="G72" s="197">
        <f t="shared" ref="G72" si="57">G71*$G$4</f>
        <v>0</v>
      </c>
      <c r="H72" s="197">
        <f t="shared" ref="H72" si="58">H71*$G$4</f>
        <v>0</v>
      </c>
      <c r="I72" s="197">
        <f t="shared" ref="I72" si="59">I71*$G$4</f>
        <v>0</v>
      </c>
      <c r="J72" s="197">
        <f t="shared" ref="J72" si="60">J71*$G$4</f>
        <v>0</v>
      </c>
      <c r="K72" s="197">
        <f t="shared" ref="K72" si="61">K71*$G$4</f>
        <v>0</v>
      </c>
      <c r="L72" s="197">
        <f t="shared" ref="L72" si="62">L71*$G$4</f>
        <v>0</v>
      </c>
      <c r="M72" s="197">
        <f t="shared" ref="M72" si="63">M71*$G$4</f>
        <v>0</v>
      </c>
      <c r="N72" s="197">
        <f t="shared" ref="N72" si="64">N71*$G$4</f>
        <v>0</v>
      </c>
      <c r="O72" s="197">
        <f t="shared" ref="O72" si="65">O71*$G$4</f>
        <v>0</v>
      </c>
      <c r="P72" s="73">
        <f>SUM(D72:O72)</f>
        <v>0</v>
      </c>
    </row>
    <row r="73" spans="2:21" s="2" customFormat="1" ht="14.85" customHeight="1" thickBot="1" x14ac:dyDescent="0.3">
      <c r="B73" s="126"/>
      <c r="C73" s="473" t="s">
        <v>82</v>
      </c>
      <c r="D73" s="474"/>
      <c r="E73" s="474"/>
      <c r="F73" s="474"/>
      <c r="G73" s="474"/>
      <c r="H73" s="474"/>
      <c r="I73" s="474"/>
      <c r="J73" s="474"/>
      <c r="K73" s="474"/>
      <c r="L73" s="474"/>
      <c r="M73" s="474"/>
      <c r="N73" s="474"/>
      <c r="O73" s="474"/>
      <c r="P73" s="74">
        <f>SUM(D73:O73)</f>
        <v>0</v>
      </c>
      <c r="R73"/>
      <c r="S73"/>
      <c r="T73"/>
      <c r="U73"/>
    </row>
    <row r="74" spans="2:21" s="2" customFormat="1" ht="14.85" customHeight="1" x14ac:dyDescent="0.25">
      <c r="B74" s="126"/>
      <c r="C74" s="131" t="s">
        <v>83</v>
      </c>
      <c r="D74" s="364"/>
      <c r="E74" s="364"/>
      <c r="F74" s="364"/>
      <c r="G74" s="364"/>
      <c r="H74" s="364"/>
      <c r="I74" s="364"/>
      <c r="J74" s="364"/>
      <c r="K74" s="364"/>
      <c r="L74" s="364"/>
      <c r="M74" s="364"/>
      <c r="N74" s="364"/>
      <c r="O74" s="364"/>
      <c r="P74" s="73">
        <f t="shared" ref="P74:P81" si="66">SUM(D74:O74)</f>
        <v>0</v>
      </c>
      <c r="R74"/>
      <c r="S74"/>
      <c r="T74"/>
      <c r="U74"/>
    </row>
    <row r="75" spans="2:21" s="2" customFormat="1" ht="14.85" customHeight="1" x14ac:dyDescent="0.25">
      <c r="B75" s="106"/>
      <c r="C75" s="46" t="s">
        <v>84</v>
      </c>
      <c r="D75" s="197">
        <f>D74*$G$5</f>
        <v>0</v>
      </c>
      <c r="E75" s="197">
        <f t="shared" ref="E75" si="67">E74*$G$5</f>
        <v>0</v>
      </c>
      <c r="F75" s="197">
        <f t="shared" ref="F75" si="68">F74*$G$5</f>
        <v>0</v>
      </c>
      <c r="G75" s="197">
        <f t="shared" ref="G75" si="69">G74*$G$5</f>
        <v>0</v>
      </c>
      <c r="H75" s="197">
        <f t="shared" ref="H75" si="70">H74*$G$5</f>
        <v>0</v>
      </c>
      <c r="I75" s="197">
        <f t="shared" ref="I75" si="71">I74*$G$5</f>
        <v>0</v>
      </c>
      <c r="J75" s="197">
        <f t="shared" ref="J75" si="72">J74*$G$5</f>
        <v>0</v>
      </c>
      <c r="K75" s="197">
        <f t="shared" ref="K75" si="73">K74*$G$5</f>
        <v>0</v>
      </c>
      <c r="L75" s="197">
        <f t="shared" ref="L75" si="74">L74*$G$5</f>
        <v>0</v>
      </c>
      <c r="M75" s="197">
        <f t="shared" ref="M75" si="75">M74*$G$5</f>
        <v>0</v>
      </c>
      <c r="N75" s="197">
        <f t="shared" ref="N75" si="76">N74*$G$5</f>
        <v>0</v>
      </c>
      <c r="O75" s="197">
        <f t="shared" ref="O75" si="77">O74*$G$5</f>
        <v>0</v>
      </c>
      <c r="P75" s="73">
        <f t="shared" si="66"/>
        <v>0</v>
      </c>
      <c r="R75"/>
      <c r="S75"/>
      <c r="T75"/>
      <c r="U75"/>
    </row>
    <row r="76" spans="2:21" s="2" customFormat="1" ht="14.85" customHeight="1" thickBot="1" x14ac:dyDescent="0.3">
      <c r="B76" s="126"/>
      <c r="C76" s="473" t="s">
        <v>85</v>
      </c>
      <c r="D76" s="474"/>
      <c r="E76" s="474"/>
      <c r="F76" s="474"/>
      <c r="G76" s="474"/>
      <c r="H76" s="474"/>
      <c r="I76" s="474"/>
      <c r="J76" s="474"/>
      <c r="K76" s="474"/>
      <c r="L76" s="474"/>
      <c r="M76" s="474"/>
      <c r="N76" s="474"/>
      <c r="O76" s="474"/>
      <c r="P76" s="74">
        <f>SUM(D76:O76)</f>
        <v>0</v>
      </c>
      <c r="R76"/>
      <c r="S76"/>
      <c r="T76"/>
      <c r="U76"/>
    </row>
    <row r="77" spans="2:21" ht="14.85" customHeight="1" x14ac:dyDescent="0.25">
      <c r="B77" s="105"/>
      <c r="C77" s="131" t="s">
        <v>86</v>
      </c>
      <c r="D77" s="364"/>
      <c r="E77" s="364"/>
      <c r="F77" s="364"/>
      <c r="G77" s="364"/>
      <c r="H77" s="364"/>
      <c r="I77" s="364"/>
      <c r="J77" s="364"/>
      <c r="K77" s="364"/>
      <c r="L77" s="364"/>
      <c r="M77" s="364"/>
      <c r="N77" s="364"/>
      <c r="O77" s="364"/>
      <c r="P77" s="73">
        <f t="shared" si="66"/>
        <v>0</v>
      </c>
    </row>
    <row r="78" spans="2:21" ht="14.85" customHeight="1" x14ac:dyDescent="0.25">
      <c r="B78" s="94"/>
      <c r="C78" s="46" t="s">
        <v>87</v>
      </c>
      <c r="D78" s="197">
        <f>D77*$G$6</f>
        <v>0</v>
      </c>
      <c r="E78" s="197">
        <f t="shared" ref="E78" si="78">E77*$G$6</f>
        <v>0</v>
      </c>
      <c r="F78" s="197">
        <f t="shared" ref="F78" si="79">F77*$G$6</f>
        <v>0</v>
      </c>
      <c r="G78" s="197">
        <f t="shared" ref="G78" si="80">G77*$G$6</f>
        <v>0</v>
      </c>
      <c r="H78" s="197">
        <f t="shared" ref="H78" si="81">H77*$G$6</f>
        <v>0</v>
      </c>
      <c r="I78" s="197">
        <f t="shared" ref="I78" si="82">I77*$G$6</f>
        <v>0</v>
      </c>
      <c r="J78" s="197">
        <f t="shared" ref="J78" si="83">J77*$G$6</f>
        <v>0</v>
      </c>
      <c r="K78" s="197">
        <f t="shared" ref="K78" si="84">K77*$G$6</f>
        <v>0</v>
      </c>
      <c r="L78" s="197">
        <f t="shared" ref="L78" si="85">L77*$G$6</f>
        <v>0</v>
      </c>
      <c r="M78" s="197">
        <f t="shared" ref="M78" si="86">M77*$G$6</f>
        <v>0</v>
      </c>
      <c r="N78" s="197">
        <f t="shared" ref="N78" si="87">N77*$G$6</f>
        <v>0</v>
      </c>
      <c r="O78" s="197">
        <f t="shared" ref="O78" si="88">O77*$G$6</f>
        <v>0</v>
      </c>
      <c r="P78" s="73">
        <f t="shared" si="66"/>
        <v>0</v>
      </c>
    </row>
    <row r="79" spans="2:21" ht="14.85" customHeight="1" thickBot="1" x14ac:dyDescent="0.3">
      <c r="B79" s="126"/>
      <c r="C79" s="473" t="s">
        <v>88</v>
      </c>
      <c r="D79" s="474"/>
      <c r="E79" s="474"/>
      <c r="F79" s="474"/>
      <c r="G79" s="474"/>
      <c r="H79" s="474"/>
      <c r="I79" s="474"/>
      <c r="J79" s="474"/>
      <c r="K79" s="474"/>
      <c r="L79" s="474"/>
      <c r="M79" s="474"/>
      <c r="N79" s="474"/>
      <c r="O79" s="474"/>
      <c r="P79" s="74">
        <f>SUM(D79:O79)</f>
        <v>0</v>
      </c>
    </row>
    <row r="80" spans="2:21" ht="14.85" customHeight="1" x14ac:dyDescent="0.25">
      <c r="B80" s="94"/>
      <c r="C80" s="131" t="s">
        <v>89</v>
      </c>
      <c r="D80" s="364"/>
      <c r="E80" s="364"/>
      <c r="F80" s="364"/>
      <c r="G80" s="364"/>
      <c r="H80" s="364"/>
      <c r="I80" s="364"/>
      <c r="J80" s="364"/>
      <c r="K80" s="364"/>
      <c r="L80" s="364"/>
      <c r="M80" s="364"/>
      <c r="N80" s="364"/>
      <c r="O80" s="364"/>
      <c r="P80" s="73">
        <f t="shared" si="66"/>
        <v>0</v>
      </c>
    </row>
    <row r="81" spans="2:17" ht="14.85" customHeight="1" x14ac:dyDescent="0.25">
      <c r="B81" s="94"/>
      <c r="C81" s="46" t="s">
        <v>90</v>
      </c>
      <c r="D81" s="197">
        <f>D80*$G$7</f>
        <v>0</v>
      </c>
      <c r="E81" s="197">
        <f t="shared" ref="E81" si="89">E80*$G$7</f>
        <v>0</v>
      </c>
      <c r="F81" s="197">
        <f t="shared" ref="F81" si="90">F80*$G$7</f>
        <v>0</v>
      </c>
      <c r="G81" s="197">
        <f t="shared" ref="G81" si="91">G80*$G$7</f>
        <v>0</v>
      </c>
      <c r="H81" s="197">
        <f t="shared" ref="H81" si="92">H80*$G$7</f>
        <v>0</v>
      </c>
      <c r="I81" s="197">
        <f t="shared" ref="I81" si="93">I80*$G$7</f>
        <v>0</v>
      </c>
      <c r="J81" s="197">
        <f t="shared" ref="J81" si="94">J80*$G$7</f>
        <v>0</v>
      </c>
      <c r="K81" s="197">
        <f t="shared" ref="K81" si="95">K80*$G$7</f>
        <v>0</v>
      </c>
      <c r="L81" s="197">
        <f t="shared" ref="L81" si="96">L80*$G$7</f>
        <v>0</v>
      </c>
      <c r="M81" s="197">
        <f t="shared" ref="M81" si="97">M80*$G$7</f>
        <v>0</v>
      </c>
      <c r="N81" s="197">
        <f t="shared" ref="N81" si="98">N80*$G$7</f>
        <v>0</v>
      </c>
      <c r="O81" s="197">
        <f t="shared" ref="O81" si="99">O80*$G$7</f>
        <v>0</v>
      </c>
      <c r="P81" s="73">
        <f t="shared" si="66"/>
        <v>0</v>
      </c>
    </row>
    <row r="82" spans="2:17" ht="14.85" customHeight="1" thickBot="1" x14ac:dyDescent="0.3">
      <c r="B82" s="126"/>
      <c r="C82" s="473" t="s">
        <v>91</v>
      </c>
      <c r="D82" s="474"/>
      <c r="E82" s="474"/>
      <c r="F82" s="474"/>
      <c r="G82" s="474"/>
      <c r="H82" s="474"/>
      <c r="I82" s="474"/>
      <c r="J82" s="474"/>
      <c r="K82" s="474"/>
      <c r="L82" s="474"/>
      <c r="M82" s="474"/>
      <c r="N82" s="474"/>
      <c r="O82" s="474"/>
      <c r="P82" s="74">
        <f>SUM(D82:O82)</f>
        <v>0</v>
      </c>
    </row>
    <row r="83" spans="2:17" ht="15.75" thickBot="1" x14ac:dyDescent="0.3">
      <c r="B83" s="94"/>
      <c r="C83" s="490" t="s">
        <v>92</v>
      </c>
      <c r="D83" s="491">
        <f>D78+D79+D75+D76+D81+D82+D72+D73</f>
        <v>0</v>
      </c>
      <c r="E83" s="491">
        <f t="shared" ref="E83:O83" si="100">E78+E79+E75+E76+E81+E82+E72+E73</f>
        <v>0</v>
      </c>
      <c r="F83" s="491">
        <f t="shared" si="100"/>
        <v>0</v>
      </c>
      <c r="G83" s="491">
        <f t="shared" si="100"/>
        <v>0</v>
      </c>
      <c r="H83" s="491">
        <f t="shared" si="100"/>
        <v>0</v>
      </c>
      <c r="I83" s="491">
        <f t="shared" si="100"/>
        <v>0</v>
      </c>
      <c r="J83" s="491">
        <f t="shared" si="100"/>
        <v>0</v>
      </c>
      <c r="K83" s="491">
        <f t="shared" si="100"/>
        <v>0</v>
      </c>
      <c r="L83" s="491">
        <f t="shared" si="100"/>
        <v>0</v>
      </c>
      <c r="M83" s="491">
        <f t="shared" si="100"/>
        <v>0</v>
      </c>
      <c r="N83" s="491">
        <f t="shared" si="100"/>
        <v>0</v>
      </c>
      <c r="O83" s="491">
        <f t="shared" si="100"/>
        <v>0</v>
      </c>
      <c r="P83" s="492">
        <f>SUM(D83:O83)</f>
        <v>0</v>
      </c>
    </row>
    <row r="84" spans="2:17" ht="15.75" x14ac:dyDescent="0.25">
      <c r="B84" s="126"/>
      <c r="C84" s="476" t="s">
        <v>93</v>
      </c>
      <c r="D84" s="392"/>
      <c r="E84" s="392"/>
      <c r="F84" s="392"/>
      <c r="G84" s="392"/>
      <c r="H84" s="392"/>
      <c r="I84" s="392"/>
      <c r="J84" s="392"/>
      <c r="K84" s="392"/>
      <c r="L84" s="392"/>
      <c r="M84" s="392"/>
      <c r="N84" s="392"/>
      <c r="O84" s="392"/>
      <c r="P84" s="79">
        <f t="shared" ref="P84:P90" si="101">SUM(D84:O84)</f>
        <v>0</v>
      </c>
      <c r="Q84" s="90"/>
    </row>
    <row r="85" spans="2:17" x14ac:dyDescent="0.25">
      <c r="B85" s="126"/>
      <c r="C85" s="112" t="s">
        <v>94</v>
      </c>
      <c r="D85" s="197">
        <f>D84*$G$8</f>
        <v>0</v>
      </c>
      <c r="E85" s="197">
        <f t="shared" ref="E85" si="102">E84*$G$8</f>
        <v>0</v>
      </c>
      <c r="F85" s="197">
        <f t="shared" ref="F85" si="103">F84*$G$8</f>
        <v>0</v>
      </c>
      <c r="G85" s="197">
        <f t="shared" ref="G85" si="104">G84*$G$8</f>
        <v>0</v>
      </c>
      <c r="H85" s="197">
        <f t="shared" ref="H85" si="105">H84*$G$8</f>
        <v>0</v>
      </c>
      <c r="I85" s="197">
        <f t="shared" ref="I85" si="106">I84*$G$8</f>
        <v>0</v>
      </c>
      <c r="J85" s="197">
        <f t="shared" ref="J85" si="107">J84*$G$8</f>
        <v>0</v>
      </c>
      <c r="K85" s="197">
        <f t="shared" ref="K85" si="108">K84*$G$8</f>
        <v>0</v>
      </c>
      <c r="L85" s="197">
        <f t="shared" ref="L85" si="109">L84*$G$8</f>
        <v>0</v>
      </c>
      <c r="M85" s="197">
        <f t="shared" ref="M85" si="110">M84*$G$8</f>
        <v>0</v>
      </c>
      <c r="N85" s="197">
        <f t="shared" ref="N85" si="111">N84*$G$8</f>
        <v>0</v>
      </c>
      <c r="O85" s="197">
        <f t="shared" ref="O85" si="112">O84*$G$8</f>
        <v>0</v>
      </c>
      <c r="P85" s="73">
        <f t="shared" si="101"/>
        <v>0</v>
      </c>
      <c r="Q85" s="90"/>
    </row>
    <row r="86" spans="2:17" ht="15.75" thickBot="1" x14ac:dyDescent="0.3">
      <c r="B86" s="126"/>
      <c r="C86" s="391" t="s">
        <v>95</v>
      </c>
      <c r="D86" s="474"/>
      <c r="E86" s="474"/>
      <c r="F86" s="474"/>
      <c r="G86" s="474"/>
      <c r="H86" s="474"/>
      <c r="I86" s="474"/>
      <c r="J86" s="474"/>
      <c r="K86" s="474"/>
      <c r="L86" s="474"/>
      <c r="M86" s="474"/>
      <c r="N86" s="474"/>
      <c r="O86" s="474"/>
      <c r="P86" s="74">
        <f>SUM(D86:O86)</f>
        <v>0</v>
      </c>
      <c r="Q86" s="90"/>
    </row>
    <row r="87" spans="2:17" ht="15.75" x14ac:dyDescent="0.25">
      <c r="B87" s="126"/>
      <c r="C87" s="476" t="s">
        <v>96</v>
      </c>
      <c r="D87" s="364"/>
      <c r="E87" s="364"/>
      <c r="F87" s="364"/>
      <c r="G87" s="364"/>
      <c r="H87" s="364"/>
      <c r="I87" s="364"/>
      <c r="J87" s="364"/>
      <c r="K87" s="364"/>
      <c r="L87" s="364"/>
      <c r="M87" s="364"/>
      <c r="N87" s="364"/>
      <c r="O87" s="364"/>
      <c r="P87" s="73">
        <f t="shared" si="101"/>
        <v>0</v>
      </c>
      <c r="Q87" s="90"/>
    </row>
    <row r="88" spans="2:17" ht="14.85" customHeight="1" x14ac:dyDescent="0.25">
      <c r="B88" s="94"/>
      <c r="C88" s="112" t="s">
        <v>97</v>
      </c>
      <c r="D88" s="84">
        <f t="shared" ref="D88:O88" si="113">D87*$G$8</f>
        <v>0</v>
      </c>
      <c r="E88" s="84">
        <f t="shared" si="113"/>
        <v>0</v>
      </c>
      <c r="F88" s="84">
        <f t="shared" si="113"/>
        <v>0</v>
      </c>
      <c r="G88" s="84">
        <f t="shared" si="113"/>
        <v>0</v>
      </c>
      <c r="H88" s="84">
        <f t="shared" si="113"/>
        <v>0</v>
      </c>
      <c r="I88" s="84">
        <f t="shared" si="113"/>
        <v>0</v>
      </c>
      <c r="J88" s="84">
        <f t="shared" si="113"/>
        <v>0</v>
      </c>
      <c r="K88" s="84">
        <f t="shared" si="113"/>
        <v>0</v>
      </c>
      <c r="L88" s="84">
        <f t="shared" si="113"/>
        <v>0</v>
      </c>
      <c r="M88" s="84">
        <f t="shared" si="113"/>
        <v>0</v>
      </c>
      <c r="N88" s="84">
        <f t="shared" si="113"/>
        <v>0</v>
      </c>
      <c r="O88" s="84">
        <f t="shared" si="113"/>
        <v>0</v>
      </c>
      <c r="P88" s="79">
        <f t="shared" si="101"/>
        <v>0</v>
      </c>
    </row>
    <row r="89" spans="2:17" ht="14.85" customHeight="1" thickBot="1" x14ac:dyDescent="0.3">
      <c r="B89" s="126"/>
      <c r="C89" s="391" t="s">
        <v>98</v>
      </c>
      <c r="D89" s="474"/>
      <c r="E89" s="474"/>
      <c r="F89" s="474"/>
      <c r="G89" s="474"/>
      <c r="H89" s="474"/>
      <c r="I89" s="474"/>
      <c r="J89" s="474"/>
      <c r="K89" s="474"/>
      <c r="L89" s="474"/>
      <c r="M89" s="474"/>
      <c r="N89" s="474"/>
      <c r="O89" s="474"/>
      <c r="P89" s="74">
        <f>SUM(D89:O89)</f>
        <v>0</v>
      </c>
    </row>
    <row r="90" spans="2:17" ht="14.85" customHeight="1" thickBot="1" x14ac:dyDescent="0.3">
      <c r="B90" s="94"/>
      <c r="C90" s="493" t="s">
        <v>99</v>
      </c>
      <c r="D90" s="491">
        <f>D85+D86+D88+D89</f>
        <v>0</v>
      </c>
      <c r="E90" s="491">
        <f t="shared" ref="E90:O90" si="114">E85+E86+E88+E89</f>
        <v>0</v>
      </c>
      <c r="F90" s="491">
        <f t="shared" si="114"/>
        <v>0</v>
      </c>
      <c r="G90" s="491">
        <f t="shared" si="114"/>
        <v>0</v>
      </c>
      <c r="H90" s="491">
        <f t="shared" si="114"/>
        <v>0</v>
      </c>
      <c r="I90" s="491">
        <f t="shared" si="114"/>
        <v>0</v>
      </c>
      <c r="J90" s="491">
        <f t="shared" si="114"/>
        <v>0</v>
      </c>
      <c r="K90" s="491">
        <f t="shared" si="114"/>
        <v>0</v>
      </c>
      <c r="L90" s="491">
        <f t="shared" si="114"/>
        <v>0</v>
      </c>
      <c r="M90" s="491">
        <f t="shared" si="114"/>
        <v>0</v>
      </c>
      <c r="N90" s="491">
        <f t="shared" si="114"/>
        <v>0</v>
      </c>
      <c r="O90" s="491">
        <f t="shared" si="114"/>
        <v>0</v>
      </c>
      <c r="P90" s="492">
        <f t="shared" si="101"/>
        <v>0</v>
      </c>
    </row>
    <row r="91" spans="2:17" ht="15.75" thickBot="1" x14ac:dyDescent="0.3">
      <c r="B91" s="94"/>
      <c r="C91" s="490" t="s">
        <v>100</v>
      </c>
      <c r="D91" s="497">
        <f t="shared" ref="D91:O91" si="115">D83+D90</f>
        <v>0</v>
      </c>
      <c r="E91" s="497">
        <f t="shared" si="115"/>
        <v>0</v>
      </c>
      <c r="F91" s="497">
        <f t="shared" si="115"/>
        <v>0</v>
      </c>
      <c r="G91" s="497">
        <f t="shared" si="115"/>
        <v>0</v>
      </c>
      <c r="H91" s="497">
        <f t="shared" si="115"/>
        <v>0</v>
      </c>
      <c r="I91" s="497">
        <f t="shared" si="115"/>
        <v>0</v>
      </c>
      <c r="J91" s="497">
        <f t="shared" si="115"/>
        <v>0</v>
      </c>
      <c r="K91" s="497">
        <f t="shared" si="115"/>
        <v>0</v>
      </c>
      <c r="L91" s="497">
        <f t="shared" si="115"/>
        <v>0</v>
      </c>
      <c r="M91" s="497">
        <f t="shared" si="115"/>
        <v>0</v>
      </c>
      <c r="N91" s="497">
        <f t="shared" si="115"/>
        <v>0</v>
      </c>
      <c r="O91" s="497">
        <f t="shared" si="115"/>
        <v>0</v>
      </c>
      <c r="P91" s="492">
        <f t="shared" ref="P91:P92" si="116">SUM(D91:O91)</f>
        <v>0</v>
      </c>
    </row>
    <row r="92" spans="2:17" x14ac:dyDescent="0.25">
      <c r="B92" s="94"/>
      <c r="C92" s="494" t="s">
        <v>101</v>
      </c>
      <c r="D92" s="496" t="e">
        <f t="shared" ref="D92:O92" si="117">D91/b_2024</f>
        <v>#DIV/0!</v>
      </c>
      <c r="E92" s="496" t="e">
        <f t="shared" si="117"/>
        <v>#DIV/0!</v>
      </c>
      <c r="F92" s="496" t="e">
        <f t="shared" si="117"/>
        <v>#DIV/0!</v>
      </c>
      <c r="G92" s="496" t="e">
        <f t="shared" si="117"/>
        <v>#DIV/0!</v>
      </c>
      <c r="H92" s="496" t="e">
        <f t="shared" si="117"/>
        <v>#DIV/0!</v>
      </c>
      <c r="I92" s="496" t="e">
        <f t="shared" si="117"/>
        <v>#DIV/0!</v>
      </c>
      <c r="J92" s="496" t="e">
        <f t="shared" si="117"/>
        <v>#DIV/0!</v>
      </c>
      <c r="K92" s="496" t="e">
        <f t="shared" si="117"/>
        <v>#DIV/0!</v>
      </c>
      <c r="L92" s="496" t="e">
        <f t="shared" si="117"/>
        <v>#DIV/0!</v>
      </c>
      <c r="M92" s="496" t="e">
        <f t="shared" si="117"/>
        <v>#DIV/0!</v>
      </c>
      <c r="N92" s="496" t="e">
        <f t="shared" si="117"/>
        <v>#DIV/0!</v>
      </c>
      <c r="O92" s="496" t="e">
        <f t="shared" si="117"/>
        <v>#DIV/0!</v>
      </c>
      <c r="P92" s="79" t="e">
        <f t="shared" si="116"/>
        <v>#DIV/0!</v>
      </c>
    </row>
    <row r="93" spans="2:17" ht="15.75" thickBot="1" x14ac:dyDescent="0.3">
      <c r="B93" s="111"/>
      <c r="C93" s="240" t="s">
        <v>102</v>
      </c>
      <c r="D93" s="167" t="e">
        <f t="shared" ref="D93:P93" si="118">D83/D91</f>
        <v>#DIV/0!</v>
      </c>
      <c r="E93" s="167" t="e">
        <f t="shared" si="118"/>
        <v>#DIV/0!</v>
      </c>
      <c r="F93" s="167" t="e">
        <f t="shared" si="118"/>
        <v>#DIV/0!</v>
      </c>
      <c r="G93" s="167" t="e">
        <f t="shared" si="118"/>
        <v>#DIV/0!</v>
      </c>
      <c r="H93" s="167" t="e">
        <f t="shared" si="118"/>
        <v>#DIV/0!</v>
      </c>
      <c r="I93" s="167" t="e">
        <f t="shared" si="118"/>
        <v>#DIV/0!</v>
      </c>
      <c r="J93" s="167" t="e">
        <f t="shared" si="118"/>
        <v>#DIV/0!</v>
      </c>
      <c r="K93" s="167" t="e">
        <f t="shared" si="118"/>
        <v>#DIV/0!</v>
      </c>
      <c r="L93" s="167" t="e">
        <f t="shared" si="118"/>
        <v>#DIV/0!</v>
      </c>
      <c r="M93" s="167" t="e">
        <f t="shared" si="118"/>
        <v>#DIV/0!</v>
      </c>
      <c r="N93" s="167" t="e">
        <f t="shared" si="118"/>
        <v>#DIV/0!</v>
      </c>
      <c r="O93" s="167" t="e">
        <f t="shared" si="118"/>
        <v>#DIV/0!</v>
      </c>
      <c r="P93" s="132" t="e">
        <f t="shared" si="118"/>
        <v>#DIV/0!</v>
      </c>
      <c r="Q93" s="118"/>
    </row>
    <row r="94" spans="2:17" x14ac:dyDescent="0.25">
      <c r="D94"/>
      <c r="E94"/>
      <c r="F94"/>
      <c r="G94"/>
      <c r="H94"/>
      <c r="I94"/>
      <c r="J94"/>
      <c r="K94"/>
      <c r="L94"/>
      <c r="M94"/>
      <c r="N94"/>
      <c r="O94"/>
      <c r="P94"/>
    </row>
    <row r="95" spans="2:17" ht="14.85" customHeight="1" thickBot="1" x14ac:dyDescent="0.3">
      <c r="D95"/>
      <c r="E95"/>
      <c r="F95"/>
      <c r="G95"/>
      <c r="H95"/>
      <c r="I95"/>
      <c r="J95"/>
      <c r="K95"/>
      <c r="L95"/>
      <c r="M95"/>
      <c r="N95"/>
      <c r="O95"/>
      <c r="P95"/>
    </row>
    <row r="96" spans="2:17" x14ac:dyDescent="0.25">
      <c r="B96" s="613" t="s">
        <v>21</v>
      </c>
      <c r="C96" s="636" t="s">
        <v>22</v>
      </c>
      <c r="D96" s="638" t="s">
        <v>23</v>
      </c>
      <c r="E96" s="610" t="s">
        <v>24</v>
      </c>
      <c r="F96" s="610" t="s">
        <v>25</v>
      </c>
      <c r="G96" s="610" t="s">
        <v>26</v>
      </c>
      <c r="H96" s="610" t="s">
        <v>27</v>
      </c>
      <c r="I96" s="610" t="s">
        <v>28</v>
      </c>
      <c r="J96" s="610" t="s">
        <v>29</v>
      </c>
      <c r="K96" s="610" t="s">
        <v>30</v>
      </c>
      <c r="L96" s="610" t="s">
        <v>31</v>
      </c>
      <c r="M96" s="610" t="s">
        <v>32</v>
      </c>
      <c r="N96" s="610" t="s">
        <v>33</v>
      </c>
      <c r="O96" s="639" t="s">
        <v>34</v>
      </c>
      <c r="P96" s="613" t="s">
        <v>35</v>
      </c>
    </row>
    <row r="97" spans="2:21" ht="15.75" thickBot="1" x14ac:dyDescent="0.3">
      <c r="B97" s="615"/>
      <c r="C97" s="637"/>
      <c r="D97" s="628"/>
      <c r="E97" s="612"/>
      <c r="F97" s="612"/>
      <c r="G97" s="612"/>
      <c r="H97" s="612"/>
      <c r="I97" s="612"/>
      <c r="J97" s="612"/>
      <c r="K97" s="612"/>
      <c r="L97" s="612"/>
      <c r="M97" s="612"/>
      <c r="N97" s="612"/>
      <c r="O97" s="640"/>
      <c r="P97" s="615"/>
    </row>
    <row r="98" spans="2:21" ht="14.85" customHeight="1" x14ac:dyDescent="0.25">
      <c r="B98" s="125">
        <f>ÜLDANDMED!F10</f>
        <v>2025</v>
      </c>
      <c r="C98" s="131" t="s">
        <v>80</v>
      </c>
      <c r="D98" s="364"/>
      <c r="E98" s="364"/>
      <c r="F98" s="364"/>
      <c r="G98" s="364"/>
      <c r="H98" s="364"/>
      <c r="I98" s="364"/>
      <c r="J98" s="364"/>
      <c r="K98" s="364"/>
      <c r="L98" s="364"/>
      <c r="M98" s="364"/>
      <c r="N98" s="364"/>
      <c r="O98" s="364"/>
      <c r="P98" s="73">
        <f>SUM(D98:O98)</f>
        <v>0</v>
      </c>
    </row>
    <row r="99" spans="2:21" s="2" customFormat="1" ht="14.85" customHeight="1" x14ac:dyDescent="0.2">
      <c r="B99" s="126"/>
      <c r="C99" s="46" t="s">
        <v>81</v>
      </c>
      <c r="D99" s="84">
        <f>D98*$G$4</f>
        <v>0</v>
      </c>
      <c r="E99" s="84">
        <f t="shared" ref="E99" si="119">E98*$G$4</f>
        <v>0</v>
      </c>
      <c r="F99" s="84">
        <f t="shared" ref="F99" si="120">F98*$G$4</f>
        <v>0</v>
      </c>
      <c r="G99" s="84">
        <f t="shared" ref="G99" si="121">G98*$G$4</f>
        <v>0</v>
      </c>
      <c r="H99" s="84">
        <f t="shared" ref="H99" si="122">H98*$G$4</f>
        <v>0</v>
      </c>
      <c r="I99" s="84">
        <f t="shared" ref="I99" si="123">I98*$G$4</f>
        <v>0</v>
      </c>
      <c r="J99" s="84">
        <f t="shared" ref="J99" si="124">J98*$G$4</f>
        <v>0</v>
      </c>
      <c r="K99" s="84">
        <f t="shared" ref="K99" si="125">K98*$G$4</f>
        <v>0</v>
      </c>
      <c r="L99" s="84">
        <f t="shared" ref="L99" si="126">L98*$G$4</f>
        <v>0</v>
      </c>
      <c r="M99" s="84">
        <f t="shared" ref="M99" si="127">M98*$G$4</f>
        <v>0</v>
      </c>
      <c r="N99" s="84">
        <f t="shared" ref="N99" si="128">N98*$G$4</f>
        <v>0</v>
      </c>
      <c r="O99" s="84">
        <f t="shared" ref="O99" si="129">O98*$G$4</f>
        <v>0</v>
      </c>
      <c r="P99" s="73">
        <f>SUM(D99:O99)</f>
        <v>0</v>
      </c>
    </row>
    <row r="100" spans="2:21" s="2" customFormat="1" ht="14.85" customHeight="1" thickBot="1" x14ac:dyDescent="0.3">
      <c r="B100" s="126"/>
      <c r="C100" s="473" t="s">
        <v>82</v>
      </c>
      <c r="D100" s="474"/>
      <c r="E100" s="474"/>
      <c r="F100" s="474"/>
      <c r="G100" s="474"/>
      <c r="H100" s="474"/>
      <c r="I100" s="474"/>
      <c r="J100" s="474"/>
      <c r="K100" s="474"/>
      <c r="L100" s="474"/>
      <c r="M100" s="474"/>
      <c r="N100" s="474"/>
      <c r="O100" s="474"/>
      <c r="P100" s="74">
        <f>SUM(D100:O100)</f>
        <v>0</v>
      </c>
      <c r="R100"/>
      <c r="S100"/>
      <c r="T100"/>
      <c r="U100"/>
    </row>
    <row r="101" spans="2:21" s="2" customFormat="1" ht="14.85" customHeight="1" x14ac:dyDescent="0.25">
      <c r="B101" s="126"/>
      <c r="C101" s="131" t="s">
        <v>83</v>
      </c>
      <c r="D101" s="364"/>
      <c r="E101" s="364"/>
      <c r="F101" s="364"/>
      <c r="G101" s="364"/>
      <c r="H101" s="364"/>
      <c r="I101" s="364"/>
      <c r="J101" s="364"/>
      <c r="K101" s="364"/>
      <c r="L101" s="364"/>
      <c r="M101" s="364"/>
      <c r="N101" s="364"/>
      <c r="O101" s="364"/>
      <c r="P101" s="73">
        <f t="shared" ref="P101:P108" si="130">SUM(D101:O101)</f>
        <v>0</v>
      </c>
      <c r="R101"/>
      <c r="S101"/>
      <c r="T101"/>
      <c r="U101"/>
    </row>
    <row r="102" spans="2:21" s="2" customFormat="1" ht="14.85" customHeight="1" x14ac:dyDescent="0.25">
      <c r="B102" s="106"/>
      <c r="C102" s="46" t="s">
        <v>84</v>
      </c>
      <c r="D102" s="84">
        <f>D101*$G$5</f>
        <v>0</v>
      </c>
      <c r="E102" s="84">
        <f t="shared" ref="E102" si="131">E101*$G$5</f>
        <v>0</v>
      </c>
      <c r="F102" s="84">
        <f t="shared" ref="F102" si="132">F101*$G$5</f>
        <v>0</v>
      </c>
      <c r="G102" s="84">
        <f t="shared" ref="G102" si="133">G101*$G$5</f>
        <v>0</v>
      </c>
      <c r="H102" s="84">
        <f t="shared" ref="H102" si="134">H101*$G$5</f>
        <v>0</v>
      </c>
      <c r="I102" s="84">
        <f t="shared" ref="I102" si="135">I101*$G$5</f>
        <v>0</v>
      </c>
      <c r="J102" s="84">
        <f t="shared" ref="J102" si="136">J101*$G$5</f>
        <v>0</v>
      </c>
      <c r="K102" s="84">
        <f t="shared" ref="K102" si="137">K101*$G$5</f>
        <v>0</v>
      </c>
      <c r="L102" s="84">
        <f t="shared" ref="L102" si="138">L101*$G$5</f>
        <v>0</v>
      </c>
      <c r="M102" s="84">
        <f t="shared" ref="M102" si="139">M101*$G$5</f>
        <v>0</v>
      </c>
      <c r="N102" s="84">
        <f t="shared" ref="N102" si="140">N101*$G$5</f>
        <v>0</v>
      </c>
      <c r="O102" s="84">
        <f t="shared" ref="O102" si="141">O101*$G$5</f>
        <v>0</v>
      </c>
      <c r="P102" s="73">
        <f t="shared" si="130"/>
        <v>0</v>
      </c>
      <c r="R102"/>
      <c r="S102"/>
      <c r="T102"/>
      <c r="U102"/>
    </row>
    <row r="103" spans="2:21" s="2" customFormat="1" ht="14.85" customHeight="1" thickBot="1" x14ac:dyDescent="0.3">
      <c r="B103" s="126"/>
      <c r="C103" s="473" t="s">
        <v>85</v>
      </c>
      <c r="D103" s="474"/>
      <c r="E103" s="474"/>
      <c r="F103" s="474"/>
      <c r="G103" s="474"/>
      <c r="H103" s="474"/>
      <c r="I103" s="474"/>
      <c r="J103" s="474"/>
      <c r="K103" s="474"/>
      <c r="L103" s="474"/>
      <c r="M103" s="474"/>
      <c r="N103" s="474"/>
      <c r="O103" s="474"/>
      <c r="P103" s="74">
        <f>SUM(D103:O103)</f>
        <v>0</v>
      </c>
      <c r="R103"/>
      <c r="S103"/>
      <c r="T103"/>
      <c r="U103"/>
    </row>
    <row r="104" spans="2:21" ht="14.85" customHeight="1" x14ac:dyDescent="0.25">
      <c r="B104" s="105"/>
      <c r="C104" s="131" t="s">
        <v>86</v>
      </c>
      <c r="D104" s="364"/>
      <c r="E104" s="364"/>
      <c r="F104" s="364"/>
      <c r="G104" s="364"/>
      <c r="H104" s="364"/>
      <c r="I104" s="364"/>
      <c r="J104" s="364"/>
      <c r="K104" s="364"/>
      <c r="L104" s="364"/>
      <c r="M104" s="364"/>
      <c r="N104" s="364"/>
      <c r="O104" s="364"/>
      <c r="P104" s="73">
        <f t="shared" si="130"/>
        <v>0</v>
      </c>
    </row>
    <row r="105" spans="2:21" ht="14.85" customHeight="1" x14ac:dyDescent="0.25">
      <c r="B105" s="126"/>
      <c r="C105" s="46" t="s">
        <v>87</v>
      </c>
      <c r="D105" s="84">
        <f>D104*$G$6</f>
        <v>0</v>
      </c>
      <c r="E105" s="84">
        <f t="shared" ref="E105" si="142">E104*$G$6</f>
        <v>0</v>
      </c>
      <c r="F105" s="84">
        <f t="shared" ref="F105" si="143">F104*$G$6</f>
        <v>0</v>
      </c>
      <c r="G105" s="84">
        <f t="shared" ref="G105" si="144">G104*$G$6</f>
        <v>0</v>
      </c>
      <c r="H105" s="84">
        <f t="shared" ref="H105" si="145">H104*$G$6</f>
        <v>0</v>
      </c>
      <c r="I105" s="84">
        <f t="shared" ref="I105" si="146">I104*$G$6</f>
        <v>0</v>
      </c>
      <c r="J105" s="84">
        <f t="shared" ref="J105" si="147">J104*$G$6</f>
        <v>0</v>
      </c>
      <c r="K105" s="84">
        <f t="shared" ref="K105" si="148">K104*$G$6</f>
        <v>0</v>
      </c>
      <c r="L105" s="84">
        <f t="shared" ref="L105" si="149">L104*$G$6</f>
        <v>0</v>
      </c>
      <c r="M105" s="84">
        <f t="shared" ref="M105" si="150">M104*$G$6</f>
        <v>0</v>
      </c>
      <c r="N105" s="84">
        <f t="shared" ref="N105" si="151">N104*$G$6</f>
        <v>0</v>
      </c>
      <c r="O105" s="84">
        <f t="shared" ref="O105" si="152">O104*$G$6</f>
        <v>0</v>
      </c>
      <c r="P105" s="73">
        <f t="shared" si="130"/>
        <v>0</v>
      </c>
    </row>
    <row r="106" spans="2:21" ht="14.85" customHeight="1" thickBot="1" x14ac:dyDescent="0.3">
      <c r="B106" s="126"/>
      <c r="C106" s="473" t="s">
        <v>88</v>
      </c>
      <c r="D106" s="474"/>
      <c r="E106" s="474"/>
      <c r="F106" s="474"/>
      <c r="G106" s="474"/>
      <c r="H106" s="474"/>
      <c r="I106" s="474"/>
      <c r="J106" s="474"/>
      <c r="K106" s="474"/>
      <c r="L106" s="474"/>
      <c r="M106" s="474"/>
      <c r="N106" s="474"/>
      <c r="O106" s="474"/>
      <c r="P106" s="74">
        <f>SUM(D106:O106)</f>
        <v>0</v>
      </c>
    </row>
    <row r="107" spans="2:21" ht="14.85" customHeight="1" x14ac:dyDescent="0.25">
      <c r="B107" s="126"/>
      <c r="C107" s="131" t="s">
        <v>89</v>
      </c>
      <c r="D107" s="364"/>
      <c r="E107" s="364"/>
      <c r="F107" s="364"/>
      <c r="G107" s="364"/>
      <c r="H107" s="364"/>
      <c r="I107" s="364"/>
      <c r="J107" s="364"/>
      <c r="K107" s="364"/>
      <c r="L107" s="364"/>
      <c r="M107" s="364"/>
      <c r="N107" s="364"/>
      <c r="O107" s="364"/>
      <c r="P107" s="73">
        <f t="shared" si="130"/>
        <v>0</v>
      </c>
    </row>
    <row r="108" spans="2:21" ht="14.85" customHeight="1" x14ac:dyDescent="0.25">
      <c r="B108" s="126"/>
      <c r="C108" s="46" t="s">
        <v>90</v>
      </c>
      <c r="D108" s="84">
        <f>D107*$G$7</f>
        <v>0</v>
      </c>
      <c r="E108" s="84">
        <f t="shared" ref="E108" si="153">E107*$G$7</f>
        <v>0</v>
      </c>
      <c r="F108" s="84">
        <f t="shared" ref="F108" si="154">F107*$G$7</f>
        <v>0</v>
      </c>
      <c r="G108" s="84">
        <f t="shared" ref="G108" si="155">G107*$G$7</f>
        <v>0</v>
      </c>
      <c r="H108" s="84">
        <f t="shared" ref="H108" si="156">H107*$G$7</f>
        <v>0</v>
      </c>
      <c r="I108" s="84">
        <f t="shared" ref="I108" si="157">I107*$G$7</f>
        <v>0</v>
      </c>
      <c r="J108" s="84">
        <f t="shared" ref="J108" si="158">J107*$G$7</f>
        <v>0</v>
      </c>
      <c r="K108" s="84">
        <f t="shared" ref="K108" si="159">K107*$G$7</f>
        <v>0</v>
      </c>
      <c r="L108" s="84">
        <f t="shared" ref="L108" si="160">L107*$G$7</f>
        <v>0</v>
      </c>
      <c r="M108" s="84">
        <f t="shared" ref="M108" si="161">M107*$G$7</f>
        <v>0</v>
      </c>
      <c r="N108" s="84">
        <f t="shared" ref="N108" si="162">N107*$G$7</f>
        <v>0</v>
      </c>
      <c r="O108" s="84">
        <f t="shared" ref="O108" si="163">O107*$G$7</f>
        <v>0</v>
      </c>
      <c r="P108" s="73">
        <f t="shared" si="130"/>
        <v>0</v>
      </c>
    </row>
    <row r="109" spans="2:21" ht="14.85" customHeight="1" thickBot="1" x14ac:dyDescent="0.3">
      <c r="B109" s="126"/>
      <c r="C109" s="473" t="s">
        <v>91</v>
      </c>
      <c r="D109" s="474"/>
      <c r="E109" s="474"/>
      <c r="F109" s="474"/>
      <c r="G109" s="474"/>
      <c r="H109" s="474"/>
      <c r="I109" s="474"/>
      <c r="J109" s="474"/>
      <c r="K109" s="474"/>
      <c r="L109" s="474"/>
      <c r="M109" s="474"/>
      <c r="N109" s="474"/>
      <c r="O109" s="474"/>
      <c r="P109" s="74">
        <f>SUM(D109:O109)</f>
        <v>0</v>
      </c>
    </row>
    <row r="110" spans="2:21" ht="15.75" thickBot="1" x14ac:dyDescent="0.3">
      <c r="B110" s="126"/>
      <c r="C110" s="490" t="s">
        <v>92</v>
      </c>
      <c r="D110" s="491">
        <f>D105+D106+D102+D103+D108+D109+D99+D100</f>
        <v>0</v>
      </c>
      <c r="E110" s="491">
        <f t="shared" ref="E110:O110" si="164">E105+E106+E102+E103+E108+E109+E99+E100</f>
        <v>0</v>
      </c>
      <c r="F110" s="491">
        <f t="shared" si="164"/>
        <v>0</v>
      </c>
      <c r="G110" s="491">
        <f t="shared" si="164"/>
        <v>0</v>
      </c>
      <c r="H110" s="491">
        <f t="shared" si="164"/>
        <v>0</v>
      </c>
      <c r="I110" s="491">
        <f t="shared" si="164"/>
        <v>0</v>
      </c>
      <c r="J110" s="491">
        <f t="shared" si="164"/>
        <v>0</v>
      </c>
      <c r="K110" s="491">
        <f t="shared" si="164"/>
        <v>0</v>
      </c>
      <c r="L110" s="491">
        <f t="shared" si="164"/>
        <v>0</v>
      </c>
      <c r="M110" s="491">
        <f t="shared" si="164"/>
        <v>0</v>
      </c>
      <c r="N110" s="491">
        <f t="shared" si="164"/>
        <v>0</v>
      </c>
      <c r="O110" s="491">
        <f t="shared" si="164"/>
        <v>0</v>
      </c>
      <c r="P110" s="492">
        <f>SUM(D110:O110)</f>
        <v>0</v>
      </c>
    </row>
    <row r="111" spans="2:21" ht="15.75" x14ac:dyDescent="0.25">
      <c r="B111" s="126"/>
      <c r="C111" s="476" t="s">
        <v>93</v>
      </c>
      <c r="D111" s="392"/>
      <c r="E111" s="392"/>
      <c r="F111" s="392"/>
      <c r="G111" s="392"/>
      <c r="H111" s="392"/>
      <c r="I111" s="392"/>
      <c r="J111" s="392"/>
      <c r="K111" s="392"/>
      <c r="L111" s="392"/>
      <c r="M111" s="392"/>
      <c r="N111" s="392"/>
      <c r="O111" s="392"/>
      <c r="P111" s="79">
        <f t="shared" ref="P111:P119" si="165">SUM(D111:O111)</f>
        <v>0</v>
      </c>
      <c r="Q111" s="90"/>
    </row>
    <row r="112" spans="2:21" x14ac:dyDescent="0.25">
      <c r="B112" s="126"/>
      <c r="C112" s="112" t="s">
        <v>94</v>
      </c>
      <c r="D112" s="84">
        <f>D111*$G$8</f>
        <v>0</v>
      </c>
      <c r="E112" s="84">
        <f t="shared" ref="E112" si="166">E111*$G$8</f>
        <v>0</v>
      </c>
      <c r="F112" s="84">
        <f t="shared" ref="F112" si="167">F111*$G$8</f>
        <v>0</v>
      </c>
      <c r="G112" s="84">
        <f t="shared" ref="G112" si="168">G111*$G$8</f>
        <v>0</v>
      </c>
      <c r="H112" s="84">
        <f t="shared" ref="H112" si="169">H111*$G$8</f>
        <v>0</v>
      </c>
      <c r="I112" s="84">
        <f t="shared" ref="I112" si="170">I111*$G$8</f>
        <v>0</v>
      </c>
      <c r="J112" s="84">
        <f t="shared" ref="J112" si="171">J111*$G$8</f>
        <v>0</v>
      </c>
      <c r="K112" s="84">
        <f t="shared" ref="K112" si="172">K111*$G$8</f>
        <v>0</v>
      </c>
      <c r="L112" s="84">
        <f t="shared" ref="L112" si="173">L111*$G$8</f>
        <v>0</v>
      </c>
      <c r="M112" s="84">
        <f t="shared" ref="M112" si="174">M111*$G$8</f>
        <v>0</v>
      </c>
      <c r="N112" s="84">
        <f t="shared" ref="N112" si="175">N111*$G$8</f>
        <v>0</v>
      </c>
      <c r="O112" s="84">
        <f t="shared" ref="O112" si="176">O111*$G$8</f>
        <v>0</v>
      </c>
      <c r="P112" s="73">
        <f t="shared" si="165"/>
        <v>0</v>
      </c>
      <c r="Q112" s="90"/>
    </row>
    <row r="113" spans="2:21" ht="15.75" thickBot="1" x14ac:dyDescent="0.3">
      <c r="B113" s="126"/>
      <c r="C113" s="391" t="s">
        <v>95</v>
      </c>
      <c r="D113" s="474"/>
      <c r="E113" s="474"/>
      <c r="F113" s="474"/>
      <c r="G113" s="474"/>
      <c r="H113" s="474"/>
      <c r="I113" s="474"/>
      <c r="J113" s="474"/>
      <c r="K113" s="474"/>
      <c r="L113" s="474"/>
      <c r="M113" s="474"/>
      <c r="N113" s="474"/>
      <c r="O113" s="474"/>
      <c r="P113" s="74">
        <f>SUM(D113:O113)</f>
        <v>0</v>
      </c>
      <c r="Q113" s="90"/>
    </row>
    <row r="114" spans="2:21" ht="15.75" x14ac:dyDescent="0.25">
      <c r="B114" s="126"/>
      <c r="C114" s="476" t="s">
        <v>96</v>
      </c>
      <c r="D114" s="364"/>
      <c r="E114" s="364"/>
      <c r="F114" s="364"/>
      <c r="G114" s="364"/>
      <c r="H114" s="364"/>
      <c r="I114" s="364"/>
      <c r="J114" s="364"/>
      <c r="K114" s="364"/>
      <c r="L114" s="364"/>
      <c r="M114" s="364"/>
      <c r="N114" s="364"/>
      <c r="O114" s="364"/>
      <c r="P114" s="73">
        <f t="shared" si="165"/>
        <v>0</v>
      </c>
      <c r="Q114" s="90"/>
    </row>
    <row r="115" spans="2:21" ht="14.85" customHeight="1" x14ac:dyDescent="0.25">
      <c r="B115" s="126"/>
      <c r="C115" s="112" t="s">
        <v>97</v>
      </c>
      <c r="D115" s="84">
        <f t="shared" ref="D115:O115" si="177">D114*$G$8</f>
        <v>0</v>
      </c>
      <c r="E115" s="84">
        <f t="shared" si="177"/>
        <v>0</v>
      </c>
      <c r="F115" s="84">
        <f t="shared" si="177"/>
        <v>0</v>
      </c>
      <c r="G115" s="84">
        <f t="shared" si="177"/>
        <v>0</v>
      </c>
      <c r="H115" s="84">
        <f t="shared" si="177"/>
        <v>0</v>
      </c>
      <c r="I115" s="84">
        <f t="shared" si="177"/>
        <v>0</v>
      </c>
      <c r="J115" s="84">
        <f t="shared" si="177"/>
        <v>0</v>
      </c>
      <c r="K115" s="84">
        <f t="shared" si="177"/>
        <v>0</v>
      </c>
      <c r="L115" s="84">
        <f t="shared" si="177"/>
        <v>0</v>
      </c>
      <c r="M115" s="84">
        <f t="shared" si="177"/>
        <v>0</v>
      </c>
      <c r="N115" s="84">
        <f t="shared" si="177"/>
        <v>0</v>
      </c>
      <c r="O115" s="84">
        <f t="shared" si="177"/>
        <v>0</v>
      </c>
      <c r="P115" s="79">
        <f t="shared" si="165"/>
        <v>0</v>
      </c>
    </row>
    <row r="116" spans="2:21" ht="14.85" customHeight="1" thickBot="1" x14ac:dyDescent="0.3">
      <c r="B116" s="126"/>
      <c r="C116" s="391" t="s">
        <v>98</v>
      </c>
      <c r="D116" s="474"/>
      <c r="E116" s="474"/>
      <c r="F116" s="474"/>
      <c r="G116" s="474"/>
      <c r="H116" s="474"/>
      <c r="I116" s="474"/>
      <c r="J116" s="474"/>
      <c r="K116" s="474"/>
      <c r="L116" s="474"/>
      <c r="M116" s="474"/>
      <c r="N116" s="474"/>
      <c r="O116" s="474"/>
      <c r="P116" s="74">
        <f>SUM(D116:O116)</f>
        <v>0</v>
      </c>
    </row>
    <row r="117" spans="2:21" ht="14.85" customHeight="1" thickBot="1" x14ac:dyDescent="0.3">
      <c r="B117" s="126"/>
      <c r="C117" s="493" t="s">
        <v>99</v>
      </c>
      <c r="D117" s="491">
        <f>D112+D113+D115+D116</f>
        <v>0</v>
      </c>
      <c r="E117" s="491">
        <f t="shared" ref="E117:O117" si="178">E112+E113+E115+E116</f>
        <v>0</v>
      </c>
      <c r="F117" s="491">
        <f t="shared" si="178"/>
        <v>0</v>
      </c>
      <c r="G117" s="491">
        <f t="shared" si="178"/>
        <v>0</v>
      </c>
      <c r="H117" s="491">
        <f t="shared" si="178"/>
        <v>0</v>
      </c>
      <c r="I117" s="491">
        <f t="shared" si="178"/>
        <v>0</v>
      </c>
      <c r="J117" s="491">
        <f t="shared" si="178"/>
        <v>0</v>
      </c>
      <c r="K117" s="491">
        <f t="shared" si="178"/>
        <v>0</v>
      </c>
      <c r="L117" s="491">
        <f t="shared" si="178"/>
        <v>0</v>
      </c>
      <c r="M117" s="491">
        <f t="shared" si="178"/>
        <v>0</v>
      </c>
      <c r="N117" s="491">
        <f t="shared" si="178"/>
        <v>0</v>
      </c>
      <c r="O117" s="491">
        <f t="shared" si="178"/>
        <v>0</v>
      </c>
      <c r="P117" s="492">
        <f t="shared" si="165"/>
        <v>0</v>
      </c>
    </row>
    <row r="118" spans="2:21" ht="15.75" thickBot="1" x14ac:dyDescent="0.3">
      <c r="B118" s="126"/>
      <c r="C118" s="490" t="s">
        <v>100</v>
      </c>
      <c r="D118" s="497">
        <f t="shared" ref="D118:O118" si="179">D110+D117</f>
        <v>0</v>
      </c>
      <c r="E118" s="497">
        <f t="shared" si="179"/>
        <v>0</v>
      </c>
      <c r="F118" s="497">
        <f t="shared" si="179"/>
        <v>0</v>
      </c>
      <c r="G118" s="497">
        <f t="shared" si="179"/>
        <v>0</v>
      </c>
      <c r="H118" s="497">
        <f t="shared" si="179"/>
        <v>0</v>
      </c>
      <c r="I118" s="497">
        <f t="shared" si="179"/>
        <v>0</v>
      </c>
      <c r="J118" s="497">
        <f t="shared" si="179"/>
        <v>0</v>
      </c>
      <c r="K118" s="497">
        <f t="shared" si="179"/>
        <v>0</v>
      </c>
      <c r="L118" s="497">
        <f t="shared" si="179"/>
        <v>0</v>
      </c>
      <c r="M118" s="497">
        <f t="shared" si="179"/>
        <v>0</v>
      </c>
      <c r="N118" s="497">
        <f t="shared" si="179"/>
        <v>0</v>
      </c>
      <c r="O118" s="497">
        <f t="shared" si="179"/>
        <v>0</v>
      </c>
      <c r="P118" s="492">
        <f t="shared" si="165"/>
        <v>0</v>
      </c>
    </row>
    <row r="119" spans="2:21" x14ac:dyDescent="0.25">
      <c r="B119" s="126"/>
      <c r="C119" s="494" t="s">
        <v>101</v>
      </c>
      <c r="D119" s="496" t="e">
        <f t="shared" ref="D119:O119" si="180">D118/b_2025</f>
        <v>#DIV/0!</v>
      </c>
      <c r="E119" s="496" t="e">
        <f t="shared" si="180"/>
        <v>#DIV/0!</v>
      </c>
      <c r="F119" s="496" t="e">
        <f t="shared" si="180"/>
        <v>#DIV/0!</v>
      </c>
      <c r="G119" s="496" t="e">
        <f t="shared" si="180"/>
        <v>#DIV/0!</v>
      </c>
      <c r="H119" s="496" t="e">
        <f t="shared" si="180"/>
        <v>#DIV/0!</v>
      </c>
      <c r="I119" s="496" t="e">
        <f t="shared" si="180"/>
        <v>#DIV/0!</v>
      </c>
      <c r="J119" s="496" t="e">
        <f t="shared" si="180"/>
        <v>#DIV/0!</v>
      </c>
      <c r="K119" s="496" t="e">
        <f t="shared" si="180"/>
        <v>#DIV/0!</v>
      </c>
      <c r="L119" s="496" t="e">
        <f t="shared" si="180"/>
        <v>#DIV/0!</v>
      </c>
      <c r="M119" s="496" t="e">
        <f t="shared" si="180"/>
        <v>#DIV/0!</v>
      </c>
      <c r="N119" s="496" t="e">
        <f t="shared" si="180"/>
        <v>#DIV/0!</v>
      </c>
      <c r="O119" s="496" t="e">
        <f t="shared" si="180"/>
        <v>#DIV/0!</v>
      </c>
      <c r="P119" s="79" t="e">
        <f t="shared" si="165"/>
        <v>#DIV/0!</v>
      </c>
    </row>
    <row r="120" spans="2:21" ht="15.75" thickBot="1" x14ac:dyDescent="0.3">
      <c r="B120" s="127"/>
      <c r="C120" s="240" t="s">
        <v>102</v>
      </c>
      <c r="D120" s="167" t="e">
        <f t="shared" ref="D120:P120" si="181">D110/D118</f>
        <v>#DIV/0!</v>
      </c>
      <c r="E120" s="167" t="e">
        <f t="shared" si="181"/>
        <v>#DIV/0!</v>
      </c>
      <c r="F120" s="167" t="e">
        <f t="shared" si="181"/>
        <v>#DIV/0!</v>
      </c>
      <c r="G120" s="167" t="e">
        <f t="shared" si="181"/>
        <v>#DIV/0!</v>
      </c>
      <c r="H120" s="167" t="e">
        <f t="shared" si="181"/>
        <v>#DIV/0!</v>
      </c>
      <c r="I120" s="167" t="e">
        <f t="shared" si="181"/>
        <v>#DIV/0!</v>
      </c>
      <c r="J120" s="167" t="e">
        <f t="shared" si="181"/>
        <v>#DIV/0!</v>
      </c>
      <c r="K120" s="167" t="e">
        <f t="shared" si="181"/>
        <v>#DIV/0!</v>
      </c>
      <c r="L120" s="167" t="e">
        <f t="shared" si="181"/>
        <v>#DIV/0!</v>
      </c>
      <c r="M120" s="167" t="e">
        <f t="shared" si="181"/>
        <v>#DIV/0!</v>
      </c>
      <c r="N120" s="167" t="e">
        <f t="shared" si="181"/>
        <v>#DIV/0!</v>
      </c>
      <c r="O120" s="167" t="e">
        <f t="shared" si="181"/>
        <v>#DIV/0!</v>
      </c>
      <c r="P120" s="132" t="e">
        <f t="shared" si="181"/>
        <v>#DIV/0!</v>
      </c>
      <c r="Q120" s="118"/>
    </row>
    <row r="121" spans="2:21" ht="14.85" customHeight="1" x14ac:dyDescent="0.25">
      <c r="B121" s="58"/>
      <c r="D121"/>
      <c r="E121"/>
      <c r="F121"/>
      <c r="G121"/>
      <c r="H121"/>
      <c r="I121"/>
      <c r="J121"/>
      <c r="K121"/>
      <c r="L121"/>
      <c r="M121"/>
      <c r="N121"/>
      <c r="O121"/>
      <c r="P121"/>
    </row>
    <row r="122" spans="2:21" ht="14.85" customHeight="1" thickBot="1" x14ac:dyDescent="0.3">
      <c r="B122" s="58"/>
      <c r="D122"/>
      <c r="E122"/>
      <c r="F122"/>
      <c r="G122"/>
      <c r="H122"/>
      <c r="I122"/>
      <c r="J122"/>
      <c r="K122"/>
      <c r="L122"/>
      <c r="M122"/>
      <c r="N122"/>
      <c r="O122"/>
      <c r="P122"/>
    </row>
    <row r="123" spans="2:21" x14ac:dyDescent="0.25">
      <c r="B123" s="613" t="s">
        <v>21</v>
      </c>
      <c r="C123" s="636" t="s">
        <v>22</v>
      </c>
      <c r="D123" s="638" t="s">
        <v>23</v>
      </c>
      <c r="E123" s="610" t="s">
        <v>24</v>
      </c>
      <c r="F123" s="610" t="s">
        <v>25</v>
      </c>
      <c r="G123" s="610" t="s">
        <v>26</v>
      </c>
      <c r="H123" s="610" t="s">
        <v>27</v>
      </c>
      <c r="I123" s="610" t="s">
        <v>28</v>
      </c>
      <c r="J123" s="610" t="s">
        <v>29</v>
      </c>
      <c r="K123" s="610" t="s">
        <v>30</v>
      </c>
      <c r="L123" s="610" t="s">
        <v>31</v>
      </c>
      <c r="M123" s="610" t="s">
        <v>32</v>
      </c>
      <c r="N123" s="610" t="s">
        <v>33</v>
      </c>
      <c r="O123" s="639" t="s">
        <v>34</v>
      </c>
      <c r="P123" s="613" t="s">
        <v>35</v>
      </c>
    </row>
    <row r="124" spans="2:21" ht="15.75" thickBot="1" x14ac:dyDescent="0.3">
      <c r="B124" s="615"/>
      <c r="C124" s="637"/>
      <c r="D124" s="628"/>
      <c r="E124" s="612"/>
      <c r="F124" s="612"/>
      <c r="G124" s="612"/>
      <c r="H124" s="612"/>
      <c r="I124" s="612"/>
      <c r="J124" s="612"/>
      <c r="K124" s="612"/>
      <c r="L124" s="612"/>
      <c r="M124" s="612"/>
      <c r="N124" s="612"/>
      <c r="O124" s="640"/>
      <c r="P124" s="615"/>
    </row>
    <row r="125" spans="2:21" ht="14.85" customHeight="1" x14ac:dyDescent="0.25">
      <c r="B125" s="125">
        <f>ÜLDANDMED!G10</f>
        <v>2026</v>
      </c>
      <c r="C125" s="131" t="s">
        <v>80</v>
      </c>
      <c r="D125" s="364"/>
      <c r="E125" s="364"/>
      <c r="F125" s="364"/>
      <c r="G125" s="364"/>
      <c r="H125" s="364"/>
      <c r="I125" s="364"/>
      <c r="J125" s="364"/>
      <c r="K125" s="364"/>
      <c r="L125" s="364"/>
      <c r="M125" s="364"/>
      <c r="N125" s="364"/>
      <c r="O125" s="364"/>
      <c r="P125" s="73">
        <f>SUM(D125:O125)</f>
        <v>0</v>
      </c>
    </row>
    <row r="126" spans="2:21" s="2" customFormat="1" ht="14.85" customHeight="1" x14ac:dyDescent="0.2">
      <c r="B126" s="94"/>
      <c r="C126" s="46" t="s">
        <v>81</v>
      </c>
      <c r="D126" s="84">
        <f>D125*$G$4</f>
        <v>0</v>
      </c>
      <c r="E126" s="84">
        <f t="shared" ref="E126" si="182">E125*$G$4</f>
        <v>0</v>
      </c>
      <c r="F126" s="84">
        <f t="shared" ref="F126" si="183">F125*$G$4</f>
        <v>0</v>
      </c>
      <c r="G126" s="84">
        <f t="shared" ref="G126" si="184">G125*$G$4</f>
        <v>0</v>
      </c>
      <c r="H126" s="84">
        <f t="shared" ref="H126" si="185">H125*$G$4</f>
        <v>0</v>
      </c>
      <c r="I126" s="84">
        <f t="shared" ref="I126" si="186">I125*$G$4</f>
        <v>0</v>
      </c>
      <c r="J126" s="84">
        <f t="shared" ref="J126" si="187">J125*$G$4</f>
        <v>0</v>
      </c>
      <c r="K126" s="84">
        <f t="shared" ref="K126" si="188">K125*$G$4</f>
        <v>0</v>
      </c>
      <c r="L126" s="84">
        <f t="shared" ref="L126" si="189">L125*$G$4</f>
        <v>0</v>
      </c>
      <c r="M126" s="84">
        <f t="shared" ref="M126" si="190">M125*$G$4</f>
        <v>0</v>
      </c>
      <c r="N126" s="84">
        <f t="shared" ref="N126" si="191">N125*$G$4</f>
        <v>0</v>
      </c>
      <c r="O126" s="84">
        <f t="shared" ref="O126" si="192">O125*$G$4</f>
        <v>0</v>
      </c>
      <c r="P126" s="73">
        <f>SUM(D126:O126)</f>
        <v>0</v>
      </c>
    </row>
    <row r="127" spans="2:21" s="2" customFormat="1" ht="14.85" customHeight="1" thickBot="1" x14ac:dyDescent="0.3">
      <c r="B127" s="126"/>
      <c r="C127" s="473" t="s">
        <v>82</v>
      </c>
      <c r="D127" s="474"/>
      <c r="E127" s="474"/>
      <c r="F127" s="474"/>
      <c r="G127" s="474"/>
      <c r="H127" s="474"/>
      <c r="I127" s="474"/>
      <c r="J127" s="474"/>
      <c r="K127" s="474"/>
      <c r="L127" s="474"/>
      <c r="M127" s="474"/>
      <c r="N127" s="474"/>
      <c r="O127" s="474"/>
      <c r="P127" s="74">
        <f>SUM(D127:O127)</f>
        <v>0</v>
      </c>
      <c r="R127"/>
      <c r="S127"/>
      <c r="T127"/>
      <c r="U127"/>
    </row>
    <row r="128" spans="2:21" s="2" customFormat="1" ht="14.85" customHeight="1" x14ac:dyDescent="0.25">
      <c r="B128" s="126"/>
      <c r="C128" s="131" t="s">
        <v>83</v>
      </c>
      <c r="D128" s="364"/>
      <c r="E128" s="364"/>
      <c r="F128" s="364"/>
      <c r="G128" s="364"/>
      <c r="H128" s="364"/>
      <c r="I128" s="364"/>
      <c r="J128" s="364"/>
      <c r="K128" s="364"/>
      <c r="L128" s="364"/>
      <c r="M128" s="364"/>
      <c r="N128" s="364"/>
      <c r="O128" s="364"/>
      <c r="P128" s="73">
        <f t="shared" ref="P128:P135" si="193">SUM(D128:O128)</f>
        <v>0</v>
      </c>
      <c r="R128"/>
      <c r="S128"/>
      <c r="T128"/>
      <c r="U128"/>
    </row>
    <row r="129" spans="2:21" s="2" customFormat="1" ht="14.85" customHeight="1" x14ac:dyDescent="0.25">
      <c r="B129" s="106"/>
      <c r="C129" s="46" t="s">
        <v>84</v>
      </c>
      <c r="D129" s="84">
        <f>D128*$G$5</f>
        <v>0</v>
      </c>
      <c r="E129" s="84">
        <f t="shared" ref="E129" si="194">E128*$G$5</f>
        <v>0</v>
      </c>
      <c r="F129" s="84">
        <f t="shared" ref="F129" si="195">F128*$G$5</f>
        <v>0</v>
      </c>
      <c r="G129" s="84">
        <f t="shared" ref="G129" si="196">G128*$G$5</f>
        <v>0</v>
      </c>
      <c r="H129" s="84">
        <f t="shared" ref="H129" si="197">H128*$G$5</f>
        <v>0</v>
      </c>
      <c r="I129" s="84">
        <f t="shared" ref="I129" si="198">I128*$G$5</f>
        <v>0</v>
      </c>
      <c r="J129" s="84">
        <f t="shared" ref="J129" si="199">J128*$G$5</f>
        <v>0</v>
      </c>
      <c r="K129" s="84">
        <f t="shared" ref="K129" si="200">K128*$G$5</f>
        <v>0</v>
      </c>
      <c r="L129" s="84">
        <f t="shared" ref="L129" si="201">L128*$G$5</f>
        <v>0</v>
      </c>
      <c r="M129" s="84">
        <f t="shared" ref="M129" si="202">M128*$G$5</f>
        <v>0</v>
      </c>
      <c r="N129" s="84">
        <f t="shared" ref="N129" si="203">N128*$G$5</f>
        <v>0</v>
      </c>
      <c r="O129" s="84">
        <f t="shared" ref="O129" si="204">O128*$G$5</f>
        <v>0</v>
      </c>
      <c r="P129" s="73">
        <f t="shared" si="193"/>
        <v>0</v>
      </c>
      <c r="R129"/>
      <c r="S129"/>
      <c r="T129"/>
      <c r="U129"/>
    </row>
    <row r="130" spans="2:21" s="2" customFormat="1" ht="14.85" customHeight="1" thickBot="1" x14ac:dyDescent="0.3">
      <c r="B130" s="126"/>
      <c r="C130" s="473" t="s">
        <v>85</v>
      </c>
      <c r="D130" s="474"/>
      <c r="E130" s="474"/>
      <c r="F130" s="474"/>
      <c r="G130" s="474"/>
      <c r="H130" s="474"/>
      <c r="I130" s="474"/>
      <c r="J130" s="474"/>
      <c r="K130" s="474"/>
      <c r="L130" s="474"/>
      <c r="M130" s="474"/>
      <c r="N130" s="474"/>
      <c r="O130" s="474"/>
      <c r="P130" s="74">
        <f>SUM(D130:O130)</f>
        <v>0</v>
      </c>
      <c r="R130"/>
      <c r="S130"/>
      <c r="T130"/>
      <c r="U130"/>
    </row>
    <row r="131" spans="2:21" ht="14.85" customHeight="1" x14ac:dyDescent="0.25">
      <c r="B131" s="105"/>
      <c r="C131" s="131" t="s">
        <v>86</v>
      </c>
      <c r="D131" s="364"/>
      <c r="E131" s="364"/>
      <c r="F131" s="364"/>
      <c r="G131" s="364"/>
      <c r="H131" s="364"/>
      <c r="I131" s="364"/>
      <c r="J131" s="364"/>
      <c r="K131" s="364"/>
      <c r="L131" s="364"/>
      <c r="M131" s="364"/>
      <c r="N131" s="364"/>
      <c r="O131" s="364"/>
      <c r="P131" s="73">
        <f t="shared" si="193"/>
        <v>0</v>
      </c>
    </row>
    <row r="132" spans="2:21" ht="14.85" customHeight="1" x14ac:dyDescent="0.25">
      <c r="B132" s="94"/>
      <c r="C132" s="46" t="s">
        <v>87</v>
      </c>
      <c r="D132" s="84">
        <f>D131*$G$6</f>
        <v>0</v>
      </c>
      <c r="E132" s="84">
        <f t="shared" ref="E132" si="205">E131*$G$6</f>
        <v>0</v>
      </c>
      <c r="F132" s="84">
        <f t="shared" ref="F132" si="206">F131*$G$6</f>
        <v>0</v>
      </c>
      <c r="G132" s="84">
        <f t="shared" ref="G132" si="207">G131*$G$6</f>
        <v>0</v>
      </c>
      <c r="H132" s="84">
        <f t="shared" ref="H132" si="208">H131*$G$6</f>
        <v>0</v>
      </c>
      <c r="I132" s="84">
        <f t="shared" ref="I132" si="209">I131*$G$6</f>
        <v>0</v>
      </c>
      <c r="J132" s="84">
        <f t="shared" ref="J132" si="210">J131*$G$6</f>
        <v>0</v>
      </c>
      <c r="K132" s="84">
        <f t="shared" ref="K132" si="211">K131*$G$6</f>
        <v>0</v>
      </c>
      <c r="L132" s="84">
        <f t="shared" ref="L132" si="212">L131*$G$6</f>
        <v>0</v>
      </c>
      <c r="M132" s="84">
        <f t="shared" ref="M132" si="213">M131*$G$6</f>
        <v>0</v>
      </c>
      <c r="N132" s="84">
        <f t="shared" ref="N132" si="214">N131*$G$6</f>
        <v>0</v>
      </c>
      <c r="O132" s="84">
        <f t="shared" ref="O132" si="215">O131*$G$6</f>
        <v>0</v>
      </c>
      <c r="P132" s="73">
        <f t="shared" si="193"/>
        <v>0</v>
      </c>
    </row>
    <row r="133" spans="2:21" ht="14.85" customHeight="1" thickBot="1" x14ac:dyDescent="0.3">
      <c r="B133" s="126"/>
      <c r="C133" s="473" t="s">
        <v>88</v>
      </c>
      <c r="D133" s="474"/>
      <c r="E133" s="474"/>
      <c r="F133" s="474"/>
      <c r="G133" s="474"/>
      <c r="H133" s="474"/>
      <c r="I133" s="474"/>
      <c r="J133" s="474"/>
      <c r="K133" s="474"/>
      <c r="L133" s="474"/>
      <c r="M133" s="474"/>
      <c r="N133" s="474"/>
      <c r="O133" s="474"/>
      <c r="P133" s="74">
        <f>SUM(D133:O133)</f>
        <v>0</v>
      </c>
    </row>
    <row r="134" spans="2:21" ht="14.85" customHeight="1" x14ac:dyDescent="0.25">
      <c r="B134" s="94"/>
      <c r="C134" s="131" t="s">
        <v>89</v>
      </c>
      <c r="D134" s="364"/>
      <c r="E134" s="364"/>
      <c r="F134" s="364"/>
      <c r="G134" s="364"/>
      <c r="H134" s="364"/>
      <c r="I134" s="364"/>
      <c r="J134" s="364"/>
      <c r="K134" s="364"/>
      <c r="L134" s="364"/>
      <c r="M134" s="364"/>
      <c r="N134" s="364"/>
      <c r="O134" s="364"/>
      <c r="P134" s="73">
        <f t="shared" si="193"/>
        <v>0</v>
      </c>
    </row>
    <row r="135" spans="2:21" ht="14.85" customHeight="1" x14ac:dyDescent="0.25">
      <c r="B135" s="94"/>
      <c r="C135" s="46" t="s">
        <v>90</v>
      </c>
      <c r="D135" s="84">
        <f>D134*$G$7</f>
        <v>0</v>
      </c>
      <c r="E135" s="84">
        <f t="shared" ref="E135" si="216">E134*$G$7</f>
        <v>0</v>
      </c>
      <c r="F135" s="84">
        <f t="shared" ref="F135" si="217">F134*$G$7</f>
        <v>0</v>
      </c>
      <c r="G135" s="84">
        <f t="shared" ref="G135" si="218">G134*$G$7</f>
        <v>0</v>
      </c>
      <c r="H135" s="84">
        <f t="shared" ref="H135" si="219">H134*$G$7</f>
        <v>0</v>
      </c>
      <c r="I135" s="84">
        <f t="shared" ref="I135" si="220">I134*$G$7</f>
        <v>0</v>
      </c>
      <c r="J135" s="84">
        <f t="shared" ref="J135" si="221">J134*$G$7</f>
        <v>0</v>
      </c>
      <c r="K135" s="84">
        <f t="shared" ref="K135" si="222">K134*$G$7</f>
        <v>0</v>
      </c>
      <c r="L135" s="84">
        <f t="shared" ref="L135" si="223">L134*$G$7</f>
        <v>0</v>
      </c>
      <c r="M135" s="84">
        <f t="shared" ref="M135" si="224">M134*$G$7</f>
        <v>0</v>
      </c>
      <c r="N135" s="84">
        <f t="shared" ref="N135" si="225">N134*$G$7</f>
        <v>0</v>
      </c>
      <c r="O135" s="84">
        <f t="shared" ref="O135" si="226">O134*$G$7</f>
        <v>0</v>
      </c>
      <c r="P135" s="73">
        <f t="shared" si="193"/>
        <v>0</v>
      </c>
    </row>
    <row r="136" spans="2:21" ht="14.85" customHeight="1" thickBot="1" x14ac:dyDescent="0.3">
      <c r="B136" s="126"/>
      <c r="C136" s="473" t="s">
        <v>91</v>
      </c>
      <c r="D136" s="474"/>
      <c r="E136" s="474"/>
      <c r="F136" s="474"/>
      <c r="G136" s="474"/>
      <c r="H136" s="474"/>
      <c r="I136" s="474"/>
      <c r="J136" s="474"/>
      <c r="K136" s="474"/>
      <c r="L136" s="474"/>
      <c r="M136" s="474"/>
      <c r="N136" s="474"/>
      <c r="O136" s="474"/>
      <c r="P136" s="74">
        <f>SUM(D136:O136)</f>
        <v>0</v>
      </c>
    </row>
    <row r="137" spans="2:21" ht="15.75" thickBot="1" x14ac:dyDescent="0.3">
      <c r="B137" s="94"/>
      <c r="C137" s="490" t="s">
        <v>92</v>
      </c>
      <c r="D137" s="491">
        <f>D132+D133+D129+D130+D135+D136+D126+D127</f>
        <v>0</v>
      </c>
      <c r="E137" s="491">
        <f t="shared" ref="E137:O137" si="227">E132+E133+E129+E130+E135+E136+E126+E127</f>
        <v>0</v>
      </c>
      <c r="F137" s="491">
        <f t="shared" si="227"/>
        <v>0</v>
      </c>
      <c r="G137" s="491">
        <f t="shared" si="227"/>
        <v>0</v>
      </c>
      <c r="H137" s="491">
        <f t="shared" si="227"/>
        <v>0</v>
      </c>
      <c r="I137" s="491">
        <f t="shared" si="227"/>
        <v>0</v>
      </c>
      <c r="J137" s="491">
        <f t="shared" si="227"/>
        <v>0</v>
      </c>
      <c r="K137" s="491">
        <f t="shared" si="227"/>
        <v>0</v>
      </c>
      <c r="L137" s="491">
        <f t="shared" si="227"/>
        <v>0</v>
      </c>
      <c r="M137" s="491">
        <f t="shared" si="227"/>
        <v>0</v>
      </c>
      <c r="N137" s="491">
        <f t="shared" si="227"/>
        <v>0</v>
      </c>
      <c r="O137" s="491">
        <f t="shared" si="227"/>
        <v>0</v>
      </c>
      <c r="P137" s="492">
        <f>SUM(D137:O137)</f>
        <v>0</v>
      </c>
    </row>
    <row r="138" spans="2:21" ht="15.75" x14ac:dyDescent="0.25">
      <c r="B138" s="126"/>
      <c r="C138" s="476" t="s">
        <v>93</v>
      </c>
      <c r="D138" s="392"/>
      <c r="E138" s="392"/>
      <c r="F138" s="392"/>
      <c r="G138" s="392"/>
      <c r="H138" s="392"/>
      <c r="I138" s="392"/>
      <c r="J138" s="392"/>
      <c r="K138" s="392"/>
      <c r="L138" s="392"/>
      <c r="M138" s="392"/>
      <c r="N138" s="392"/>
      <c r="O138" s="392"/>
      <c r="P138" s="79">
        <f t="shared" ref="P138:P146" si="228">SUM(D138:O138)</f>
        <v>0</v>
      </c>
      <c r="Q138" s="90"/>
    </row>
    <row r="139" spans="2:21" x14ac:dyDescent="0.25">
      <c r="B139" s="126"/>
      <c r="C139" s="112" t="s">
        <v>94</v>
      </c>
      <c r="D139" s="84">
        <f>D138*$G$8</f>
        <v>0</v>
      </c>
      <c r="E139" s="84">
        <f t="shared" ref="E139" si="229">E138*$G$8</f>
        <v>0</v>
      </c>
      <c r="F139" s="84">
        <f t="shared" ref="F139" si="230">F138*$G$8</f>
        <v>0</v>
      </c>
      <c r="G139" s="84">
        <f t="shared" ref="G139" si="231">G138*$G$8</f>
        <v>0</v>
      </c>
      <c r="H139" s="84">
        <f t="shared" ref="H139" si="232">H138*$G$8</f>
        <v>0</v>
      </c>
      <c r="I139" s="84">
        <f t="shared" ref="I139" si="233">I138*$G$8</f>
        <v>0</v>
      </c>
      <c r="J139" s="84">
        <f t="shared" ref="J139" si="234">J138*$G$8</f>
        <v>0</v>
      </c>
      <c r="K139" s="84">
        <f t="shared" ref="K139" si="235">K138*$G$8</f>
        <v>0</v>
      </c>
      <c r="L139" s="84">
        <f t="shared" ref="L139" si="236">L138*$G$8</f>
        <v>0</v>
      </c>
      <c r="M139" s="84">
        <f t="shared" ref="M139" si="237">M138*$G$8</f>
        <v>0</v>
      </c>
      <c r="N139" s="84">
        <f t="shared" ref="N139" si="238">N138*$G$8</f>
        <v>0</v>
      </c>
      <c r="O139" s="84">
        <f t="shared" ref="O139" si="239">O138*$G$8</f>
        <v>0</v>
      </c>
      <c r="P139" s="73">
        <f t="shared" si="228"/>
        <v>0</v>
      </c>
      <c r="Q139" s="90"/>
    </row>
    <row r="140" spans="2:21" ht="15.75" thickBot="1" x14ac:dyDescent="0.3">
      <c r="B140" s="126"/>
      <c r="C140" s="391" t="s">
        <v>95</v>
      </c>
      <c r="D140" s="474"/>
      <c r="E140" s="474"/>
      <c r="F140" s="474"/>
      <c r="G140" s="474"/>
      <c r="H140" s="474"/>
      <c r="I140" s="474"/>
      <c r="J140" s="474"/>
      <c r="K140" s="474"/>
      <c r="L140" s="474"/>
      <c r="M140" s="474"/>
      <c r="N140" s="474"/>
      <c r="O140" s="474"/>
      <c r="P140" s="74">
        <f>SUM(D140:O140)</f>
        <v>0</v>
      </c>
      <c r="Q140" s="90"/>
    </row>
    <row r="141" spans="2:21" ht="15.75" x14ac:dyDescent="0.25">
      <c r="B141" s="126"/>
      <c r="C141" s="476" t="s">
        <v>96</v>
      </c>
      <c r="D141" s="364"/>
      <c r="E141" s="364"/>
      <c r="F141" s="364"/>
      <c r="G141" s="364"/>
      <c r="H141" s="364"/>
      <c r="I141" s="364"/>
      <c r="J141" s="364"/>
      <c r="K141" s="364"/>
      <c r="L141" s="364"/>
      <c r="M141" s="364"/>
      <c r="N141" s="364"/>
      <c r="O141" s="364"/>
      <c r="P141" s="73">
        <f t="shared" si="228"/>
        <v>0</v>
      </c>
      <c r="Q141" s="90"/>
    </row>
    <row r="142" spans="2:21" ht="14.85" customHeight="1" x14ac:dyDescent="0.25">
      <c r="B142" s="94"/>
      <c r="C142" s="112" t="s">
        <v>97</v>
      </c>
      <c r="D142" s="84">
        <f>D141*$G$8</f>
        <v>0</v>
      </c>
      <c r="E142" s="84">
        <f t="shared" ref="E142" si="240">E141*$G$8</f>
        <v>0</v>
      </c>
      <c r="F142" s="84">
        <f t="shared" ref="F142" si="241">F141*$G$8</f>
        <v>0</v>
      </c>
      <c r="G142" s="84">
        <f t="shared" ref="G142" si="242">G141*$G$8</f>
        <v>0</v>
      </c>
      <c r="H142" s="84">
        <f t="shared" ref="H142" si="243">H141*$G$8</f>
        <v>0</v>
      </c>
      <c r="I142" s="84">
        <f t="shared" ref="I142" si="244">I141*$G$8</f>
        <v>0</v>
      </c>
      <c r="J142" s="84">
        <f t="shared" ref="J142" si="245">J141*$G$8</f>
        <v>0</v>
      </c>
      <c r="K142" s="84">
        <f t="shared" ref="K142" si="246">K141*$G$8</f>
        <v>0</v>
      </c>
      <c r="L142" s="84">
        <f t="shared" ref="L142" si="247">L141*$G$8</f>
        <v>0</v>
      </c>
      <c r="M142" s="84">
        <f t="shared" ref="M142" si="248">M141*$G$8</f>
        <v>0</v>
      </c>
      <c r="N142" s="84">
        <f t="shared" ref="N142" si="249">N141*$G$8</f>
        <v>0</v>
      </c>
      <c r="O142" s="84">
        <f t="shared" ref="O142" si="250">O141*$G$8</f>
        <v>0</v>
      </c>
      <c r="P142" s="79">
        <f t="shared" si="228"/>
        <v>0</v>
      </c>
    </row>
    <row r="143" spans="2:21" ht="14.85" customHeight="1" thickBot="1" x14ac:dyDescent="0.3">
      <c r="B143" s="126"/>
      <c r="C143" s="391" t="s">
        <v>98</v>
      </c>
      <c r="D143" s="474"/>
      <c r="E143" s="474"/>
      <c r="F143" s="474"/>
      <c r="G143" s="474"/>
      <c r="H143" s="474"/>
      <c r="I143" s="474"/>
      <c r="J143" s="474"/>
      <c r="K143" s="474"/>
      <c r="L143" s="474"/>
      <c r="M143" s="474"/>
      <c r="N143" s="474"/>
      <c r="O143" s="474"/>
      <c r="P143" s="74">
        <f>SUM(D143:O143)</f>
        <v>0</v>
      </c>
    </row>
    <row r="144" spans="2:21" ht="14.85" customHeight="1" thickBot="1" x14ac:dyDescent="0.3">
      <c r="B144" s="94"/>
      <c r="C144" s="493" t="s">
        <v>99</v>
      </c>
      <c r="D144" s="491">
        <f>D139+D140+D142+D143</f>
        <v>0</v>
      </c>
      <c r="E144" s="491">
        <f t="shared" ref="E144:O144" si="251">E139+E140+E142+E143</f>
        <v>0</v>
      </c>
      <c r="F144" s="491">
        <f t="shared" si="251"/>
        <v>0</v>
      </c>
      <c r="G144" s="491">
        <f t="shared" si="251"/>
        <v>0</v>
      </c>
      <c r="H144" s="491">
        <f t="shared" si="251"/>
        <v>0</v>
      </c>
      <c r="I144" s="491">
        <f t="shared" si="251"/>
        <v>0</v>
      </c>
      <c r="J144" s="491">
        <f t="shared" si="251"/>
        <v>0</v>
      </c>
      <c r="K144" s="491">
        <f t="shared" si="251"/>
        <v>0</v>
      </c>
      <c r="L144" s="491">
        <f t="shared" si="251"/>
        <v>0</v>
      </c>
      <c r="M144" s="491">
        <f t="shared" si="251"/>
        <v>0</v>
      </c>
      <c r="N144" s="491">
        <f t="shared" si="251"/>
        <v>0</v>
      </c>
      <c r="O144" s="491">
        <f t="shared" si="251"/>
        <v>0</v>
      </c>
      <c r="P144" s="492">
        <f t="shared" si="228"/>
        <v>0</v>
      </c>
    </row>
    <row r="145" spans="2:21" ht="15.75" thickBot="1" x14ac:dyDescent="0.3">
      <c r="B145" s="94"/>
      <c r="C145" s="490" t="s">
        <v>100</v>
      </c>
      <c r="D145" s="497">
        <f t="shared" ref="D145:O145" si="252">D137+D144</f>
        <v>0</v>
      </c>
      <c r="E145" s="497">
        <f t="shared" si="252"/>
        <v>0</v>
      </c>
      <c r="F145" s="497">
        <f t="shared" si="252"/>
        <v>0</v>
      </c>
      <c r="G145" s="497">
        <f t="shared" si="252"/>
        <v>0</v>
      </c>
      <c r="H145" s="497">
        <f t="shared" si="252"/>
        <v>0</v>
      </c>
      <c r="I145" s="497">
        <f t="shared" si="252"/>
        <v>0</v>
      </c>
      <c r="J145" s="497">
        <f t="shared" si="252"/>
        <v>0</v>
      </c>
      <c r="K145" s="497">
        <f t="shared" si="252"/>
        <v>0</v>
      </c>
      <c r="L145" s="497">
        <f t="shared" si="252"/>
        <v>0</v>
      </c>
      <c r="M145" s="497">
        <f t="shared" si="252"/>
        <v>0</v>
      </c>
      <c r="N145" s="497">
        <f t="shared" si="252"/>
        <v>0</v>
      </c>
      <c r="O145" s="497">
        <f t="shared" si="252"/>
        <v>0</v>
      </c>
      <c r="P145" s="492">
        <f t="shared" si="228"/>
        <v>0</v>
      </c>
    </row>
    <row r="146" spans="2:21" x14ac:dyDescent="0.25">
      <c r="B146" s="94"/>
      <c r="C146" s="494" t="s">
        <v>101</v>
      </c>
      <c r="D146" s="496" t="e">
        <f t="shared" ref="D146:O146" si="253">D145/b_2026</f>
        <v>#DIV/0!</v>
      </c>
      <c r="E146" s="496" t="e">
        <f t="shared" si="253"/>
        <v>#DIV/0!</v>
      </c>
      <c r="F146" s="496" t="e">
        <f t="shared" si="253"/>
        <v>#DIV/0!</v>
      </c>
      <c r="G146" s="496" t="e">
        <f t="shared" si="253"/>
        <v>#DIV/0!</v>
      </c>
      <c r="H146" s="496" t="e">
        <f t="shared" si="253"/>
        <v>#DIV/0!</v>
      </c>
      <c r="I146" s="496" t="e">
        <f t="shared" si="253"/>
        <v>#DIV/0!</v>
      </c>
      <c r="J146" s="496" t="e">
        <f t="shared" si="253"/>
        <v>#DIV/0!</v>
      </c>
      <c r="K146" s="496" t="e">
        <f t="shared" si="253"/>
        <v>#DIV/0!</v>
      </c>
      <c r="L146" s="496" t="e">
        <f t="shared" si="253"/>
        <v>#DIV/0!</v>
      </c>
      <c r="M146" s="496" t="e">
        <f t="shared" si="253"/>
        <v>#DIV/0!</v>
      </c>
      <c r="N146" s="496" t="e">
        <f t="shared" si="253"/>
        <v>#DIV/0!</v>
      </c>
      <c r="O146" s="496" t="e">
        <f t="shared" si="253"/>
        <v>#DIV/0!</v>
      </c>
      <c r="P146" s="79" t="e">
        <f t="shared" si="228"/>
        <v>#DIV/0!</v>
      </c>
    </row>
    <row r="147" spans="2:21" ht="15.75" thickBot="1" x14ac:dyDescent="0.3">
      <c r="B147" s="111"/>
      <c r="C147" s="240" t="s">
        <v>102</v>
      </c>
      <c r="D147" s="167" t="e">
        <f t="shared" ref="D147:P147" si="254">D137/D145</f>
        <v>#DIV/0!</v>
      </c>
      <c r="E147" s="167" t="e">
        <f t="shared" si="254"/>
        <v>#DIV/0!</v>
      </c>
      <c r="F147" s="167" t="e">
        <f t="shared" si="254"/>
        <v>#DIV/0!</v>
      </c>
      <c r="G147" s="167" t="e">
        <f t="shared" si="254"/>
        <v>#DIV/0!</v>
      </c>
      <c r="H147" s="167" t="e">
        <f t="shared" si="254"/>
        <v>#DIV/0!</v>
      </c>
      <c r="I147" s="167" t="e">
        <f t="shared" si="254"/>
        <v>#DIV/0!</v>
      </c>
      <c r="J147" s="167" t="e">
        <f t="shared" si="254"/>
        <v>#DIV/0!</v>
      </c>
      <c r="K147" s="167" t="e">
        <f t="shared" si="254"/>
        <v>#DIV/0!</v>
      </c>
      <c r="L147" s="167" t="e">
        <f t="shared" si="254"/>
        <v>#DIV/0!</v>
      </c>
      <c r="M147" s="167" t="e">
        <f t="shared" si="254"/>
        <v>#DIV/0!</v>
      </c>
      <c r="N147" s="167" t="e">
        <f t="shared" si="254"/>
        <v>#DIV/0!</v>
      </c>
      <c r="O147" s="167" t="e">
        <f t="shared" si="254"/>
        <v>#DIV/0!</v>
      </c>
      <c r="P147" s="132" t="e">
        <f t="shared" si="254"/>
        <v>#DIV/0!</v>
      </c>
      <c r="Q147" s="118"/>
    </row>
    <row r="148" spans="2:21" ht="14.85" customHeight="1" x14ac:dyDescent="0.25">
      <c r="B148" s="58"/>
      <c r="D148"/>
      <c r="E148"/>
      <c r="F148"/>
      <c r="G148"/>
      <c r="H148"/>
      <c r="I148"/>
      <c r="J148"/>
      <c r="K148"/>
      <c r="L148"/>
      <c r="M148"/>
      <c r="N148"/>
      <c r="O148"/>
      <c r="P148"/>
    </row>
    <row r="149" spans="2:21" ht="14.85" customHeight="1" thickBot="1" x14ac:dyDescent="0.3">
      <c r="B149" s="58"/>
      <c r="D149"/>
      <c r="E149"/>
      <c r="F149"/>
      <c r="G149"/>
      <c r="H149"/>
      <c r="I149"/>
      <c r="J149"/>
      <c r="K149"/>
      <c r="L149"/>
      <c r="M149"/>
      <c r="N149"/>
      <c r="O149"/>
      <c r="P149"/>
    </row>
    <row r="150" spans="2:21" x14ac:dyDescent="0.25">
      <c r="B150" s="613" t="s">
        <v>21</v>
      </c>
      <c r="C150" s="636" t="s">
        <v>22</v>
      </c>
      <c r="D150" s="638" t="s">
        <v>23</v>
      </c>
      <c r="E150" s="610" t="s">
        <v>24</v>
      </c>
      <c r="F150" s="610" t="s">
        <v>25</v>
      </c>
      <c r="G150" s="610" t="s">
        <v>26</v>
      </c>
      <c r="H150" s="610" t="s">
        <v>27</v>
      </c>
      <c r="I150" s="610" t="s">
        <v>28</v>
      </c>
      <c r="J150" s="610" t="s">
        <v>29</v>
      </c>
      <c r="K150" s="610" t="s">
        <v>30</v>
      </c>
      <c r="L150" s="610" t="s">
        <v>31</v>
      </c>
      <c r="M150" s="610" t="s">
        <v>32</v>
      </c>
      <c r="N150" s="610" t="s">
        <v>33</v>
      </c>
      <c r="O150" s="639" t="s">
        <v>34</v>
      </c>
      <c r="P150" s="613" t="s">
        <v>35</v>
      </c>
    </row>
    <row r="151" spans="2:21" ht="15.75" thickBot="1" x14ac:dyDescent="0.3">
      <c r="B151" s="615"/>
      <c r="C151" s="637"/>
      <c r="D151" s="628"/>
      <c r="E151" s="612"/>
      <c r="F151" s="612"/>
      <c r="G151" s="612"/>
      <c r="H151" s="612"/>
      <c r="I151" s="612"/>
      <c r="J151" s="612"/>
      <c r="K151" s="612"/>
      <c r="L151" s="612"/>
      <c r="M151" s="612"/>
      <c r="N151" s="612"/>
      <c r="O151" s="640"/>
      <c r="P151" s="615"/>
    </row>
    <row r="152" spans="2:21" ht="14.85" customHeight="1" x14ac:dyDescent="0.25">
      <c r="B152" s="125">
        <f>ÜLDANDMED!H10</f>
        <v>2027</v>
      </c>
      <c r="C152" s="131" t="s">
        <v>80</v>
      </c>
      <c r="D152" s="364"/>
      <c r="E152" s="364"/>
      <c r="F152" s="364"/>
      <c r="G152" s="364"/>
      <c r="H152" s="364"/>
      <c r="I152" s="364"/>
      <c r="J152" s="364"/>
      <c r="K152" s="364"/>
      <c r="L152" s="364"/>
      <c r="M152" s="364"/>
      <c r="N152" s="364"/>
      <c r="O152" s="364"/>
      <c r="P152" s="73">
        <f>SUM(D152:O152)</f>
        <v>0</v>
      </c>
    </row>
    <row r="153" spans="2:21" s="2" customFormat="1" ht="14.85" customHeight="1" x14ac:dyDescent="0.2">
      <c r="B153" s="94"/>
      <c r="C153" s="46" t="s">
        <v>81</v>
      </c>
      <c r="D153" s="84">
        <f>D152*$G$4</f>
        <v>0</v>
      </c>
      <c r="E153" s="84">
        <f t="shared" ref="E153" si="255">E152*$G$4</f>
        <v>0</v>
      </c>
      <c r="F153" s="84">
        <f t="shared" ref="F153" si="256">F152*$G$4</f>
        <v>0</v>
      </c>
      <c r="G153" s="84">
        <f t="shared" ref="G153" si="257">G152*$G$4</f>
        <v>0</v>
      </c>
      <c r="H153" s="84">
        <f t="shared" ref="H153" si="258">H152*$G$4</f>
        <v>0</v>
      </c>
      <c r="I153" s="84">
        <f t="shared" ref="I153" si="259">I152*$G$4</f>
        <v>0</v>
      </c>
      <c r="J153" s="84">
        <f t="shared" ref="J153" si="260">J152*$G$4</f>
        <v>0</v>
      </c>
      <c r="K153" s="84">
        <f t="shared" ref="K153" si="261">K152*$G$4</f>
        <v>0</v>
      </c>
      <c r="L153" s="84">
        <f t="shared" ref="L153" si="262">L152*$G$4</f>
        <v>0</v>
      </c>
      <c r="M153" s="84">
        <f t="shared" ref="M153" si="263">M152*$G$4</f>
        <v>0</v>
      </c>
      <c r="N153" s="84">
        <f t="shared" ref="N153" si="264">N152*$G$4</f>
        <v>0</v>
      </c>
      <c r="O153" s="84">
        <f t="shared" ref="O153" si="265">O152*$G$4</f>
        <v>0</v>
      </c>
      <c r="P153" s="73">
        <f>SUM(D153:O153)</f>
        <v>0</v>
      </c>
    </row>
    <row r="154" spans="2:21" s="2" customFormat="1" ht="14.85" customHeight="1" thickBot="1" x14ac:dyDescent="0.3">
      <c r="B154" s="126"/>
      <c r="C154" s="473" t="s">
        <v>82</v>
      </c>
      <c r="D154" s="474"/>
      <c r="E154" s="474"/>
      <c r="F154" s="474"/>
      <c r="G154" s="474"/>
      <c r="H154" s="474"/>
      <c r="I154" s="474"/>
      <c r="J154" s="474"/>
      <c r="K154" s="474"/>
      <c r="L154" s="474"/>
      <c r="M154" s="474"/>
      <c r="N154" s="474"/>
      <c r="O154" s="474"/>
      <c r="P154" s="74">
        <f>SUM(D154:O154)</f>
        <v>0</v>
      </c>
      <c r="R154"/>
      <c r="S154"/>
      <c r="T154"/>
      <c r="U154"/>
    </row>
    <row r="155" spans="2:21" s="2" customFormat="1" ht="14.85" customHeight="1" x14ac:dyDescent="0.25">
      <c r="B155" s="126"/>
      <c r="C155" s="131" t="s">
        <v>83</v>
      </c>
      <c r="D155" s="364"/>
      <c r="E155" s="364"/>
      <c r="F155" s="364"/>
      <c r="G155" s="364"/>
      <c r="H155" s="364"/>
      <c r="I155" s="364"/>
      <c r="J155" s="364"/>
      <c r="K155" s="364"/>
      <c r="L155" s="364"/>
      <c r="M155" s="364"/>
      <c r="N155" s="364"/>
      <c r="O155" s="364"/>
      <c r="P155" s="73">
        <f t="shared" ref="P155:P162" si="266">SUM(D155:O155)</f>
        <v>0</v>
      </c>
      <c r="R155"/>
      <c r="S155"/>
      <c r="T155"/>
      <c r="U155"/>
    </row>
    <row r="156" spans="2:21" s="2" customFormat="1" ht="14.85" customHeight="1" x14ac:dyDescent="0.25">
      <c r="B156" s="106"/>
      <c r="C156" s="46" t="s">
        <v>84</v>
      </c>
      <c r="D156" s="84">
        <f>D155*$G$5</f>
        <v>0</v>
      </c>
      <c r="E156" s="84">
        <f t="shared" ref="E156" si="267">E155*$G$5</f>
        <v>0</v>
      </c>
      <c r="F156" s="84">
        <f t="shared" ref="F156" si="268">F155*$G$5</f>
        <v>0</v>
      </c>
      <c r="G156" s="84">
        <f t="shared" ref="G156" si="269">G155*$G$5</f>
        <v>0</v>
      </c>
      <c r="H156" s="84">
        <f t="shared" ref="H156" si="270">H155*$G$5</f>
        <v>0</v>
      </c>
      <c r="I156" s="84">
        <f t="shared" ref="I156" si="271">I155*$G$5</f>
        <v>0</v>
      </c>
      <c r="J156" s="84">
        <f t="shared" ref="J156" si="272">J155*$G$5</f>
        <v>0</v>
      </c>
      <c r="K156" s="84">
        <f t="shared" ref="K156" si="273">K155*$G$5</f>
        <v>0</v>
      </c>
      <c r="L156" s="84">
        <f t="shared" ref="L156" si="274">L155*$G$5</f>
        <v>0</v>
      </c>
      <c r="M156" s="84">
        <f t="shared" ref="M156" si="275">M155*$G$5</f>
        <v>0</v>
      </c>
      <c r="N156" s="84">
        <f t="shared" ref="N156" si="276">N155*$G$5</f>
        <v>0</v>
      </c>
      <c r="O156" s="84">
        <f t="shared" ref="O156" si="277">O155*$G$5</f>
        <v>0</v>
      </c>
      <c r="P156" s="73">
        <f t="shared" si="266"/>
        <v>0</v>
      </c>
      <c r="R156"/>
      <c r="S156"/>
      <c r="T156"/>
      <c r="U156"/>
    </row>
    <row r="157" spans="2:21" s="2" customFormat="1" ht="14.85" customHeight="1" thickBot="1" x14ac:dyDescent="0.3">
      <c r="B157" s="126"/>
      <c r="C157" s="473" t="s">
        <v>85</v>
      </c>
      <c r="D157" s="474"/>
      <c r="E157" s="474"/>
      <c r="F157" s="474"/>
      <c r="G157" s="474"/>
      <c r="H157" s="474"/>
      <c r="I157" s="474"/>
      <c r="J157" s="474"/>
      <c r="K157" s="474"/>
      <c r="L157" s="474"/>
      <c r="M157" s="474"/>
      <c r="N157" s="474"/>
      <c r="O157" s="474"/>
      <c r="P157" s="74">
        <f>SUM(D157:O157)</f>
        <v>0</v>
      </c>
      <c r="R157"/>
      <c r="S157"/>
      <c r="T157"/>
      <c r="U157"/>
    </row>
    <row r="158" spans="2:21" ht="14.85" customHeight="1" x14ac:dyDescent="0.25">
      <c r="B158" s="105"/>
      <c r="C158" s="131" t="s">
        <v>86</v>
      </c>
      <c r="D158" s="364"/>
      <c r="E158" s="364"/>
      <c r="F158" s="364"/>
      <c r="G158" s="364"/>
      <c r="H158" s="364"/>
      <c r="I158" s="364"/>
      <c r="J158" s="364"/>
      <c r="K158" s="364"/>
      <c r="L158" s="364"/>
      <c r="M158" s="364"/>
      <c r="N158" s="364"/>
      <c r="O158" s="364"/>
      <c r="P158" s="73">
        <f t="shared" si="266"/>
        <v>0</v>
      </c>
    </row>
    <row r="159" spans="2:21" ht="14.85" customHeight="1" x14ac:dyDescent="0.25">
      <c r="B159" s="94"/>
      <c r="C159" s="46" t="s">
        <v>87</v>
      </c>
      <c r="D159" s="84">
        <f>D158*$G$6</f>
        <v>0</v>
      </c>
      <c r="E159" s="84">
        <f t="shared" ref="E159" si="278">E158*$G$6</f>
        <v>0</v>
      </c>
      <c r="F159" s="84">
        <f t="shared" ref="F159" si="279">F158*$G$6</f>
        <v>0</v>
      </c>
      <c r="G159" s="84">
        <f t="shared" ref="G159" si="280">G158*$G$6</f>
        <v>0</v>
      </c>
      <c r="H159" s="84">
        <f t="shared" ref="H159" si="281">H158*$G$6</f>
        <v>0</v>
      </c>
      <c r="I159" s="84">
        <f t="shared" ref="I159" si="282">I158*$G$6</f>
        <v>0</v>
      </c>
      <c r="J159" s="84">
        <f t="shared" ref="J159" si="283">J158*$G$6</f>
        <v>0</v>
      </c>
      <c r="K159" s="84">
        <f t="shared" ref="K159" si="284">K158*$G$6</f>
        <v>0</v>
      </c>
      <c r="L159" s="84">
        <f t="shared" ref="L159" si="285">L158*$G$6</f>
        <v>0</v>
      </c>
      <c r="M159" s="84">
        <f t="shared" ref="M159" si="286">M158*$G$6</f>
        <v>0</v>
      </c>
      <c r="N159" s="84">
        <f t="shared" ref="N159" si="287">N158*$G$6</f>
        <v>0</v>
      </c>
      <c r="O159" s="84">
        <f t="shared" ref="O159" si="288">O158*$G$6</f>
        <v>0</v>
      </c>
      <c r="P159" s="73">
        <f t="shared" si="266"/>
        <v>0</v>
      </c>
    </row>
    <row r="160" spans="2:21" ht="14.85" customHeight="1" thickBot="1" x14ac:dyDescent="0.3">
      <c r="B160" s="126"/>
      <c r="C160" s="473" t="s">
        <v>88</v>
      </c>
      <c r="D160" s="474"/>
      <c r="E160" s="474"/>
      <c r="F160" s="474"/>
      <c r="G160" s="474"/>
      <c r="H160" s="474"/>
      <c r="I160" s="474"/>
      <c r="J160" s="474"/>
      <c r="K160" s="474"/>
      <c r="L160" s="474"/>
      <c r="M160" s="474"/>
      <c r="N160" s="474"/>
      <c r="O160" s="474"/>
      <c r="P160" s="74">
        <f>SUM(D160:O160)</f>
        <v>0</v>
      </c>
    </row>
    <row r="161" spans="2:17" ht="14.85" customHeight="1" x14ac:dyDescent="0.25">
      <c r="B161" s="94"/>
      <c r="C161" s="131" t="s">
        <v>89</v>
      </c>
      <c r="D161" s="364"/>
      <c r="E161" s="364"/>
      <c r="F161" s="364"/>
      <c r="G161" s="364"/>
      <c r="H161" s="364"/>
      <c r="I161" s="364"/>
      <c r="J161" s="364"/>
      <c r="K161" s="364"/>
      <c r="L161" s="364"/>
      <c r="M161" s="364"/>
      <c r="N161" s="364"/>
      <c r="O161" s="364"/>
      <c r="P161" s="73">
        <f t="shared" si="266"/>
        <v>0</v>
      </c>
    </row>
    <row r="162" spans="2:17" ht="14.85" customHeight="1" x14ac:dyDescent="0.25">
      <c r="B162" s="94"/>
      <c r="C162" s="46" t="s">
        <v>90</v>
      </c>
      <c r="D162" s="84">
        <f>D161*$G$7</f>
        <v>0</v>
      </c>
      <c r="E162" s="84">
        <f t="shared" ref="E162" si="289">E161*$G$7</f>
        <v>0</v>
      </c>
      <c r="F162" s="84">
        <f t="shared" ref="F162" si="290">F161*$G$7</f>
        <v>0</v>
      </c>
      <c r="G162" s="84">
        <f t="shared" ref="G162" si="291">G161*$G$7</f>
        <v>0</v>
      </c>
      <c r="H162" s="84">
        <f t="shared" ref="H162" si="292">H161*$G$7</f>
        <v>0</v>
      </c>
      <c r="I162" s="84">
        <f t="shared" ref="I162" si="293">I161*$G$7</f>
        <v>0</v>
      </c>
      <c r="J162" s="84">
        <f t="shared" ref="J162" si="294">J161*$G$7</f>
        <v>0</v>
      </c>
      <c r="K162" s="84">
        <f t="shared" ref="K162" si="295">K161*$G$7</f>
        <v>0</v>
      </c>
      <c r="L162" s="84">
        <f t="shared" ref="L162" si="296">L161*$G$7</f>
        <v>0</v>
      </c>
      <c r="M162" s="84">
        <f t="shared" ref="M162" si="297">M161*$G$7</f>
        <v>0</v>
      </c>
      <c r="N162" s="84">
        <f t="shared" ref="N162" si="298">N161*$G$7</f>
        <v>0</v>
      </c>
      <c r="O162" s="84">
        <f t="shared" ref="O162" si="299">O161*$G$7</f>
        <v>0</v>
      </c>
      <c r="P162" s="73">
        <f t="shared" si="266"/>
        <v>0</v>
      </c>
    </row>
    <row r="163" spans="2:17" ht="14.85" customHeight="1" thickBot="1" x14ac:dyDescent="0.3">
      <c r="B163" s="126"/>
      <c r="C163" s="473" t="s">
        <v>91</v>
      </c>
      <c r="D163" s="474"/>
      <c r="E163" s="474"/>
      <c r="F163" s="474"/>
      <c r="G163" s="474"/>
      <c r="H163" s="474"/>
      <c r="I163" s="474"/>
      <c r="J163" s="474"/>
      <c r="K163" s="474"/>
      <c r="L163" s="474"/>
      <c r="M163" s="474"/>
      <c r="N163" s="474"/>
      <c r="O163" s="474"/>
      <c r="P163" s="74">
        <f>SUM(D163:O163)</f>
        <v>0</v>
      </c>
    </row>
    <row r="164" spans="2:17" ht="15.75" thickBot="1" x14ac:dyDescent="0.3">
      <c r="B164" s="94"/>
      <c r="C164" s="490" t="s">
        <v>92</v>
      </c>
      <c r="D164" s="491">
        <f>D159+D160+D156+D157+D162+D163+D153+D154</f>
        <v>0</v>
      </c>
      <c r="E164" s="491">
        <f t="shared" ref="E164:O164" si="300">E159+E160+E156+E157+E162+E163+E153+E154</f>
        <v>0</v>
      </c>
      <c r="F164" s="491">
        <f t="shared" si="300"/>
        <v>0</v>
      </c>
      <c r="G164" s="491">
        <f t="shared" si="300"/>
        <v>0</v>
      </c>
      <c r="H164" s="491">
        <f t="shared" si="300"/>
        <v>0</v>
      </c>
      <c r="I164" s="491">
        <f t="shared" si="300"/>
        <v>0</v>
      </c>
      <c r="J164" s="491">
        <f t="shared" si="300"/>
        <v>0</v>
      </c>
      <c r="K164" s="491">
        <f t="shared" si="300"/>
        <v>0</v>
      </c>
      <c r="L164" s="491">
        <f t="shared" si="300"/>
        <v>0</v>
      </c>
      <c r="M164" s="491">
        <f t="shared" si="300"/>
        <v>0</v>
      </c>
      <c r="N164" s="491">
        <f t="shared" si="300"/>
        <v>0</v>
      </c>
      <c r="O164" s="491">
        <f t="shared" si="300"/>
        <v>0</v>
      </c>
      <c r="P164" s="492">
        <f>SUM(D164:O164)</f>
        <v>0</v>
      </c>
    </row>
    <row r="165" spans="2:17" ht="15.75" x14ac:dyDescent="0.25">
      <c r="B165" s="126"/>
      <c r="C165" s="476" t="s">
        <v>93</v>
      </c>
      <c r="D165" s="392"/>
      <c r="E165" s="392"/>
      <c r="F165" s="392"/>
      <c r="G165" s="392"/>
      <c r="H165" s="392"/>
      <c r="I165" s="392"/>
      <c r="J165" s="392"/>
      <c r="K165" s="392"/>
      <c r="L165" s="392"/>
      <c r="M165" s="392"/>
      <c r="N165" s="392"/>
      <c r="O165" s="392"/>
      <c r="P165" s="79">
        <f t="shared" ref="P165:P173" si="301">SUM(D165:O165)</f>
        <v>0</v>
      </c>
      <c r="Q165" s="90"/>
    </row>
    <row r="166" spans="2:17" x14ac:dyDescent="0.25">
      <c r="B166" s="126"/>
      <c r="C166" s="112" t="s">
        <v>94</v>
      </c>
      <c r="D166" s="84">
        <f>D165*$G$8</f>
        <v>0</v>
      </c>
      <c r="E166" s="84">
        <f t="shared" ref="E166" si="302">E165*$G$8</f>
        <v>0</v>
      </c>
      <c r="F166" s="84">
        <f t="shared" ref="F166" si="303">F165*$G$8</f>
        <v>0</v>
      </c>
      <c r="G166" s="84">
        <f t="shared" ref="G166" si="304">G165*$G$8</f>
        <v>0</v>
      </c>
      <c r="H166" s="84">
        <f t="shared" ref="H166" si="305">H165*$G$8</f>
        <v>0</v>
      </c>
      <c r="I166" s="84">
        <f t="shared" ref="I166" si="306">I165*$G$8</f>
        <v>0</v>
      </c>
      <c r="J166" s="84">
        <f t="shared" ref="J166" si="307">J165*$G$8</f>
        <v>0</v>
      </c>
      <c r="K166" s="84">
        <f t="shared" ref="K166" si="308">K165*$G$8</f>
        <v>0</v>
      </c>
      <c r="L166" s="84">
        <f t="shared" ref="L166" si="309">L165*$G$8</f>
        <v>0</v>
      </c>
      <c r="M166" s="84">
        <f t="shared" ref="M166" si="310">M165*$G$8</f>
        <v>0</v>
      </c>
      <c r="N166" s="84">
        <f t="shared" ref="N166" si="311">N165*$G$8</f>
        <v>0</v>
      </c>
      <c r="O166" s="84">
        <f t="shared" ref="O166" si="312">O165*$G$8</f>
        <v>0</v>
      </c>
      <c r="P166" s="73">
        <f t="shared" si="301"/>
        <v>0</v>
      </c>
      <c r="Q166" s="90"/>
    </row>
    <row r="167" spans="2:17" ht="15.75" thickBot="1" x14ac:dyDescent="0.3">
      <c r="B167" s="126"/>
      <c r="C167" s="391" t="s">
        <v>95</v>
      </c>
      <c r="D167" s="474"/>
      <c r="E167" s="474"/>
      <c r="F167" s="474"/>
      <c r="G167" s="474"/>
      <c r="H167" s="474"/>
      <c r="I167" s="474"/>
      <c r="J167" s="474"/>
      <c r="K167" s="474"/>
      <c r="L167" s="474"/>
      <c r="M167" s="474"/>
      <c r="N167" s="474"/>
      <c r="O167" s="474"/>
      <c r="P167" s="74">
        <f>SUM(D167:O167)</f>
        <v>0</v>
      </c>
      <c r="Q167" s="90"/>
    </row>
    <row r="168" spans="2:17" ht="15.75" x14ac:dyDescent="0.25">
      <c r="B168" s="126"/>
      <c r="C168" s="476" t="s">
        <v>96</v>
      </c>
      <c r="D168" s="364"/>
      <c r="E168" s="364"/>
      <c r="F168" s="364"/>
      <c r="G168" s="364"/>
      <c r="H168" s="364"/>
      <c r="I168" s="364"/>
      <c r="J168" s="364"/>
      <c r="K168" s="364"/>
      <c r="L168" s="364"/>
      <c r="M168" s="364"/>
      <c r="N168" s="364"/>
      <c r="O168" s="364"/>
      <c r="P168" s="73">
        <f t="shared" si="301"/>
        <v>0</v>
      </c>
      <c r="Q168" s="90"/>
    </row>
    <row r="169" spans="2:17" ht="14.85" customHeight="1" x14ac:dyDescent="0.25">
      <c r="B169" s="94"/>
      <c r="C169" s="112" t="s">
        <v>97</v>
      </c>
      <c r="D169" s="84">
        <f>D168*$G$8</f>
        <v>0</v>
      </c>
      <c r="E169" s="84">
        <f t="shared" ref="E169" si="313">E168*$G$8</f>
        <v>0</v>
      </c>
      <c r="F169" s="84">
        <f t="shared" ref="F169" si="314">F168*$G$8</f>
        <v>0</v>
      </c>
      <c r="G169" s="84">
        <f t="shared" ref="G169" si="315">G168*$G$8</f>
        <v>0</v>
      </c>
      <c r="H169" s="84">
        <f t="shared" ref="H169" si="316">H168*$G$8</f>
        <v>0</v>
      </c>
      <c r="I169" s="84">
        <f t="shared" ref="I169" si="317">I168*$G$8</f>
        <v>0</v>
      </c>
      <c r="J169" s="84">
        <f t="shared" ref="J169" si="318">J168*$G$8</f>
        <v>0</v>
      </c>
      <c r="K169" s="84">
        <f t="shared" ref="K169" si="319">K168*$G$8</f>
        <v>0</v>
      </c>
      <c r="L169" s="84">
        <f t="shared" ref="L169" si="320">L168*$G$8</f>
        <v>0</v>
      </c>
      <c r="M169" s="84">
        <f t="shared" ref="M169" si="321">M168*$G$8</f>
        <v>0</v>
      </c>
      <c r="N169" s="84">
        <f t="shared" ref="N169" si="322">N168*$G$8</f>
        <v>0</v>
      </c>
      <c r="O169" s="84">
        <f t="shared" ref="O169" si="323">O168*$G$8</f>
        <v>0</v>
      </c>
      <c r="P169" s="79">
        <f t="shared" si="301"/>
        <v>0</v>
      </c>
    </row>
    <row r="170" spans="2:17" ht="14.85" customHeight="1" thickBot="1" x14ac:dyDescent="0.3">
      <c r="B170" s="126"/>
      <c r="C170" s="391" t="s">
        <v>98</v>
      </c>
      <c r="D170" s="474"/>
      <c r="E170" s="474"/>
      <c r="F170" s="474"/>
      <c r="G170" s="474"/>
      <c r="H170" s="474"/>
      <c r="I170" s="474"/>
      <c r="J170" s="474"/>
      <c r="K170" s="474"/>
      <c r="L170" s="474"/>
      <c r="M170" s="474"/>
      <c r="N170" s="474"/>
      <c r="O170" s="474"/>
      <c r="P170" s="74">
        <f>SUM(D170:O170)</f>
        <v>0</v>
      </c>
    </row>
    <row r="171" spans="2:17" ht="14.85" customHeight="1" thickBot="1" x14ac:dyDescent="0.3">
      <c r="B171" s="94"/>
      <c r="C171" s="493" t="s">
        <v>99</v>
      </c>
      <c r="D171" s="491">
        <f>D166+D167+D169+D170</f>
        <v>0</v>
      </c>
      <c r="E171" s="491">
        <f t="shared" ref="E171:O171" si="324">E166+E167+E169+E170</f>
        <v>0</v>
      </c>
      <c r="F171" s="491">
        <f t="shared" si="324"/>
        <v>0</v>
      </c>
      <c r="G171" s="491">
        <f t="shared" si="324"/>
        <v>0</v>
      </c>
      <c r="H171" s="491">
        <f t="shared" si="324"/>
        <v>0</v>
      </c>
      <c r="I171" s="491">
        <f t="shared" si="324"/>
        <v>0</v>
      </c>
      <c r="J171" s="491">
        <f t="shared" si="324"/>
        <v>0</v>
      </c>
      <c r="K171" s="491">
        <f t="shared" si="324"/>
        <v>0</v>
      </c>
      <c r="L171" s="491">
        <f t="shared" si="324"/>
        <v>0</v>
      </c>
      <c r="M171" s="491">
        <f t="shared" si="324"/>
        <v>0</v>
      </c>
      <c r="N171" s="491">
        <f t="shared" si="324"/>
        <v>0</v>
      </c>
      <c r="O171" s="491">
        <f t="shared" si="324"/>
        <v>0</v>
      </c>
      <c r="P171" s="492">
        <f t="shared" si="301"/>
        <v>0</v>
      </c>
    </row>
    <row r="172" spans="2:17" ht="15.75" thickBot="1" x14ac:dyDescent="0.3">
      <c r="B172" s="94"/>
      <c r="C172" s="490" t="s">
        <v>100</v>
      </c>
      <c r="D172" s="497">
        <f t="shared" ref="D172:O172" si="325">D164+D171</f>
        <v>0</v>
      </c>
      <c r="E172" s="497">
        <f t="shared" si="325"/>
        <v>0</v>
      </c>
      <c r="F172" s="497">
        <f t="shared" si="325"/>
        <v>0</v>
      </c>
      <c r="G172" s="497">
        <f t="shared" si="325"/>
        <v>0</v>
      </c>
      <c r="H172" s="497">
        <f t="shared" si="325"/>
        <v>0</v>
      </c>
      <c r="I172" s="497">
        <f t="shared" si="325"/>
        <v>0</v>
      </c>
      <c r="J172" s="497">
        <f t="shared" si="325"/>
        <v>0</v>
      </c>
      <c r="K172" s="497">
        <f t="shared" si="325"/>
        <v>0</v>
      </c>
      <c r="L172" s="497">
        <f t="shared" si="325"/>
        <v>0</v>
      </c>
      <c r="M172" s="497">
        <f t="shared" si="325"/>
        <v>0</v>
      </c>
      <c r="N172" s="497">
        <f t="shared" si="325"/>
        <v>0</v>
      </c>
      <c r="O172" s="497">
        <f t="shared" si="325"/>
        <v>0</v>
      </c>
      <c r="P172" s="492">
        <f t="shared" si="301"/>
        <v>0</v>
      </c>
    </row>
    <row r="173" spans="2:17" x14ac:dyDescent="0.25">
      <c r="B173" s="94"/>
      <c r="C173" s="494" t="s">
        <v>101</v>
      </c>
      <c r="D173" s="496" t="e">
        <f t="shared" ref="D173:O173" si="326">D172/b_2027</f>
        <v>#DIV/0!</v>
      </c>
      <c r="E173" s="496" t="e">
        <f t="shared" si="326"/>
        <v>#DIV/0!</v>
      </c>
      <c r="F173" s="496" t="e">
        <f t="shared" si="326"/>
        <v>#DIV/0!</v>
      </c>
      <c r="G173" s="496" t="e">
        <f t="shared" si="326"/>
        <v>#DIV/0!</v>
      </c>
      <c r="H173" s="496" t="e">
        <f t="shared" si="326"/>
        <v>#DIV/0!</v>
      </c>
      <c r="I173" s="496" t="e">
        <f t="shared" si="326"/>
        <v>#DIV/0!</v>
      </c>
      <c r="J173" s="496" t="e">
        <f t="shared" si="326"/>
        <v>#DIV/0!</v>
      </c>
      <c r="K173" s="496" t="e">
        <f t="shared" si="326"/>
        <v>#DIV/0!</v>
      </c>
      <c r="L173" s="496" t="e">
        <f t="shared" si="326"/>
        <v>#DIV/0!</v>
      </c>
      <c r="M173" s="496" t="e">
        <f t="shared" si="326"/>
        <v>#DIV/0!</v>
      </c>
      <c r="N173" s="496" t="e">
        <f t="shared" si="326"/>
        <v>#DIV/0!</v>
      </c>
      <c r="O173" s="496" t="e">
        <f t="shared" si="326"/>
        <v>#DIV/0!</v>
      </c>
      <c r="P173" s="79" t="e">
        <f t="shared" si="301"/>
        <v>#DIV/0!</v>
      </c>
    </row>
    <row r="174" spans="2:17" ht="15.75" thickBot="1" x14ac:dyDescent="0.3">
      <c r="B174" s="111"/>
      <c r="C174" s="240" t="s">
        <v>102</v>
      </c>
      <c r="D174" s="167" t="e">
        <f t="shared" ref="D174:P174" si="327">D164/D172</f>
        <v>#DIV/0!</v>
      </c>
      <c r="E174" s="167" t="e">
        <f t="shared" si="327"/>
        <v>#DIV/0!</v>
      </c>
      <c r="F174" s="167" t="e">
        <f t="shared" si="327"/>
        <v>#DIV/0!</v>
      </c>
      <c r="G174" s="167" t="e">
        <f t="shared" si="327"/>
        <v>#DIV/0!</v>
      </c>
      <c r="H174" s="167" t="e">
        <f t="shared" si="327"/>
        <v>#DIV/0!</v>
      </c>
      <c r="I174" s="167" t="e">
        <f t="shared" si="327"/>
        <v>#DIV/0!</v>
      </c>
      <c r="J174" s="167" t="e">
        <f t="shared" si="327"/>
        <v>#DIV/0!</v>
      </c>
      <c r="K174" s="167" t="e">
        <f t="shared" si="327"/>
        <v>#DIV/0!</v>
      </c>
      <c r="L174" s="167" t="e">
        <f t="shared" si="327"/>
        <v>#DIV/0!</v>
      </c>
      <c r="M174" s="167" t="e">
        <f t="shared" si="327"/>
        <v>#DIV/0!</v>
      </c>
      <c r="N174" s="167" t="e">
        <f t="shared" si="327"/>
        <v>#DIV/0!</v>
      </c>
      <c r="O174" s="167" t="e">
        <f t="shared" si="327"/>
        <v>#DIV/0!</v>
      </c>
      <c r="P174" s="132" t="e">
        <f t="shared" si="327"/>
        <v>#DIV/0!</v>
      </c>
      <c r="Q174" s="118"/>
    </row>
    <row r="175" spans="2:17" ht="14.85" customHeight="1" x14ac:dyDescent="0.25">
      <c r="B175" s="58"/>
      <c r="D175"/>
      <c r="E175"/>
      <c r="F175"/>
      <c r="G175"/>
      <c r="H175"/>
      <c r="I175"/>
      <c r="J175"/>
      <c r="K175"/>
      <c r="L175"/>
      <c r="M175"/>
      <c r="N175"/>
      <c r="O175"/>
      <c r="P175"/>
    </row>
    <row r="176" spans="2:17" ht="14.85" customHeight="1" thickBot="1" x14ac:dyDescent="0.3">
      <c r="B176" s="58"/>
      <c r="D176"/>
      <c r="E176"/>
      <c r="F176"/>
      <c r="G176"/>
      <c r="H176"/>
      <c r="I176"/>
      <c r="J176"/>
      <c r="K176"/>
      <c r="L176"/>
      <c r="M176"/>
      <c r="N176"/>
      <c r="O176"/>
      <c r="P176"/>
    </row>
    <row r="177" spans="2:21" x14ac:dyDescent="0.25">
      <c r="B177" s="613" t="s">
        <v>21</v>
      </c>
      <c r="C177" s="636" t="s">
        <v>22</v>
      </c>
      <c r="D177" s="638" t="s">
        <v>23</v>
      </c>
      <c r="E177" s="610" t="s">
        <v>24</v>
      </c>
      <c r="F177" s="610" t="s">
        <v>25</v>
      </c>
      <c r="G177" s="610" t="s">
        <v>26</v>
      </c>
      <c r="H177" s="610" t="s">
        <v>27</v>
      </c>
      <c r="I177" s="610" t="s">
        <v>28</v>
      </c>
      <c r="J177" s="610" t="s">
        <v>29</v>
      </c>
      <c r="K177" s="610" t="s">
        <v>30</v>
      </c>
      <c r="L177" s="610" t="s">
        <v>31</v>
      </c>
      <c r="M177" s="610" t="s">
        <v>32</v>
      </c>
      <c r="N177" s="610" t="s">
        <v>33</v>
      </c>
      <c r="O177" s="639" t="s">
        <v>34</v>
      </c>
      <c r="P177" s="613" t="s">
        <v>35</v>
      </c>
    </row>
    <row r="178" spans="2:21" ht="15.75" thickBot="1" x14ac:dyDescent="0.3">
      <c r="B178" s="615"/>
      <c r="C178" s="637"/>
      <c r="D178" s="628"/>
      <c r="E178" s="612"/>
      <c r="F178" s="612"/>
      <c r="G178" s="612"/>
      <c r="H178" s="612"/>
      <c r="I178" s="612"/>
      <c r="J178" s="612"/>
      <c r="K178" s="612"/>
      <c r="L178" s="612"/>
      <c r="M178" s="612"/>
      <c r="N178" s="612"/>
      <c r="O178" s="640"/>
      <c r="P178" s="615"/>
    </row>
    <row r="179" spans="2:21" ht="14.85" customHeight="1" x14ac:dyDescent="0.25">
      <c r="B179" s="125">
        <f>ÜLDANDMED!I10</f>
        <v>2028</v>
      </c>
      <c r="C179" s="131" t="s">
        <v>80</v>
      </c>
      <c r="D179" s="364"/>
      <c r="E179" s="364"/>
      <c r="F179" s="364"/>
      <c r="G179" s="364"/>
      <c r="H179" s="364"/>
      <c r="I179" s="364"/>
      <c r="J179" s="364"/>
      <c r="K179" s="364"/>
      <c r="L179" s="364"/>
      <c r="M179" s="364"/>
      <c r="N179" s="364"/>
      <c r="O179" s="364"/>
      <c r="P179" s="73">
        <f>SUM(D179:O179)</f>
        <v>0</v>
      </c>
    </row>
    <row r="180" spans="2:21" s="2" customFormat="1" ht="14.85" customHeight="1" x14ac:dyDescent="0.2">
      <c r="B180" s="94"/>
      <c r="C180" s="46" t="s">
        <v>81</v>
      </c>
      <c r="D180" s="84">
        <f>D179*$G$4</f>
        <v>0</v>
      </c>
      <c r="E180" s="84">
        <f t="shared" ref="E180" si="328">E179*$G$4</f>
        <v>0</v>
      </c>
      <c r="F180" s="84">
        <f t="shared" ref="F180" si="329">F179*$G$4</f>
        <v>0</v>
      </c>
      <c r="G180" s="84">
        <f t="shared" ref="G180" si="330">G179*$G$4</f>
        <v>0</v>
      </c>
      <c r="H180" s="84">
        <f t="shared" ref="H180" si="331">H179*$G$4</f>
        <v>0</v>
      </c>
      <c r="I180" s="84">
        <f t="shared" ref="I180" si="332">I179*$G$4</f>
        <v>0</v>
      </c>
      <c r="J180" s="84">
        <f t="shared" ref="J180" si="333">J179*$G$4</f>
        <v>0</v>
      </c>
      <c r="K180" s="84">
        <f t="shared" ref="K180" si="334">K179*$G$4</f>
        <v>0</v>
      </c>
      <c r="L180" s="84">
        <f t="shared" ref="L180" si="335">L179*$G$4</f>
        <v>0</v>
      </c>
      <c r="M180" s="84">
        <f t="shared" ref="M180" si="336">M179*$G$4</f>
        <v>0</v>
      </c>
      <c r="N180" s="84">
        <f t="shared" ref="N180" si="337">N179*$G$4</f>
        <v>0</v>
      </c>
      <c r="O180" s="84">
        <f t="shared" ref="O180" si="338">O179*$G$4</f>
        <v>0</v>
      </c>
      <c r="P180" s="73">
        <f>SUM(D180:O180)</f>
        <v>0</v>
      </c>
    </row>
    <row r="181" spans="2:21" s="2" customFormat="1" ht="14.85" customHeight="1" thickBot="1" x14ac:dyDescent="0.3">
      <c r="B181" s="126"/>
      <c r="C181" s="473" t="s">
        <v>82</v>
      </c>
      <c r="D181" s="474"/>
      <c r="E181" s="474"/>
      <c r="F181" s="474"/>
      <c r="G181" s="474"/>
      <c r="H181" s="474"/>
      <c r="I181" s="474"/>
      <c r="J181" s="474"/>
      <c r="K181" s="474"/>
      <c r="L181" s="474"/>
      <c r="M181" s="474"/>
      <c r="N181" s="474"/>
      <c r="O181" s="474"/>
      <c r="P181" s="74">
        <f>SUM(D181:O181)</f>
        <v>0</v>
      </c>
      <c r="R181"/>
      <c r="S181"/>
      <c r="T181"/>
      <c r="U181"/>
    </row>
    <row r="182" spans="2:21" s="2" customFormat="1" ht="14.85" customHeight="1" x14ac:dyDescent="0.25">
      <c r="B182" s="126"/>
      <c r="C182" s="131" t="s">
        <v>83</v>
      </c>
      <c r="D182" s="364"/>
      <c r="E182" s="364"/>
      <c r="F182" s="364"/>
      <c r="G182" s="364"/>
      <c r="H182" s="364"/>
      <c r="I182" s="364"/>
      <c r="J182" s="364"/>
      <c r="K182" s="364"/>
      <c r="L182" s="364"/>
      <c r="M182" s="364"/>
      <c r="N182" s="364"/>
      <c r="O182" s="364"/>
      <c r="P182" s="73">
        <f t="shared" ref="P182:P189" si="339">SUM(D182:O182)</f>
        <v>0</v>
      </c>
      <c r="R182"/>
      <c r="S182"/>
      <c r="T182"/>
      <c r="U182"/>
    </row>
    <row r="183" spans="2:21" s="2" customFormat="1" ht="14.85" customHeight="1" x14ac:dyDescent="0.25">
      <c r="B183" s="106"/>
      <c r="C183" s="46" t="s">
        <v>84</v>
      </c>
      <c r="D183" s="84">
        <f>D182*$G$5</f>
        <v>0</v>
      </c>
      <c r="E183" s="84">
        <f t="shared" ref="E183" si="340">E182*$G$5</f>
        <v>0</v>
      </c>
      <c r="F183" s="84">
        <f t="shared" ref="F183" si="341">F182*$G$5</f>
        <v>0</v>
      </c>
      <c r="G183" s="84">
        <f t="shared" ref="G183" si="342">G182*$G$5</f>
        <v>0</v>
      </c>
      <c r="H183" s="84">
        <f t="shared" ref="H183" si="343">H182*$G$5</f>
        <v>0</v>
      </c>
      <c r="I183" s="84">
        <f t="shared" ref="I183" si="344">I182*$G$5</f>
        <v>0</v>
      </c>
      <c r="J183" s="84">
        <f t="shared" ref="J183" si="345">J182*$G$5</f>
        <v>0</v>
      </c>
      <c r="K183" s="84">
        <f t="shared" ref="K183" si="346">K182*$G$5</f>
        <v>0</v>
      </c>
      <c r="L183" s="84">
        <f t="shared" ref="L183" si="347">L182*$G$5</f>
        <v>0</v>
      </c>
      <c r="M183" s="84">
        <f t="shared" ref="M183" si="348">M182*$G$5</f>
        <v>0</v>
      </c>
      <c r="N183" s="84">
        <f t="shared" ref="N183" si="349">N182*$G$5</f>
        <v>0</v>
      </c>
      <c r="O183" s="84">
        <f t="shared" ref="O183" si="350">O182*$G$5</f>
        <v>0</v>
      </c>
      <c r="P183" s="73">
        <f t="shared" si="339"/>
        <v>0</v>
      </c>
      <c r="R183"/>
      <c r="S183"/>
      <c r="T183"/>
      <c r="U183"/>
    </row>
    <row r="184" spans="2:21" s="2" customFormat="1" ht="14.85" customHeight="1" thickBot="1" x14ac:dyDescent="0.3">
      <c r="B184" s="126"/>
      <c r="C184" s="473" t="s">
        <v>85</v>
      </c>
      <c r="D184" s="474"/>
      <c r="E184" s="474"/>
      <c r="F184" s="474"/>
      <c r="G184" s="474"/>
      <c r="H184" s="474"/>
      <c r="I184" s="474"/>
      <c r="J184" s="474"/>
      <c r="K184" s="474"/>
      <c r="L184" s="474"/>
      <c r="M184" s="474"/>
      <c r="N184" s="474"/>
      <c r="O184" s="474"/>
      <c r="P184" s="74">
        <f>SUM(D184:O184)</f>
        <v>0</v>
      </c>
      <c r="R184"/>
      <c r="S184"/>
      <c r="T184"/>
      <c r="U184"/>
    </row>
    <row r="185" spans="2:21" ht="14.85" customHeight="1" x14ac:dyDescent="0.25">
      <c r="B185" s="105"/>
      <c r="C185" s="131" t="s">
        <v>86</v>
      </c>
      <c r="D185" s="364"/>
      <c r="E185" s="364"/>
      <c r="F185" s="364"/>
      <c r="G185" s="364"/>
      <c r="H185" s="364"/>
      <c r="I185" s="364"/>
      <c r="J185" s="364"/>
      <c r="K185" s="364"/>
      <c r="L185" s="364"/>
      <c r="M185" s="364"/>
      <c r="N185" s="364"/>
      <c r="O185" s="364"/>
      <c r="P185" s="73">
        <f t="shared" si="339"/>
        <v>0</v>
      </c>
    </row>
    <row r="186" spans="2:21" ht="14.85" customHeight="1" x14ac:dyDescent="0.25">
      <c r="B186" s="94"/>
      <c r="C186" s="46" t="s">
        <v>87</v>
      </c>
      <c r="D186" s="84">
        <f>D185*$G$6</f>
        <v>0</v>
      </c>
      <c r="E186" s="84">
        <f t="shared" ref="E186" si="351">E185*$G$6</f>
        <v>0</v>
      </c>
      <c r="F186" s="84">
        <f t="shared" ref="F186" si="352">F185*$G$6</f>
        <v>0</v>
      </c>
      <c r="G186" s="84">
        <f t="shared" ref="G186" si="353">G185*$G$6</f>
        <v>0</v>
      </c>
      <c r="H186" s="84">
        <f t="shared" ref="H186" si="354">H185*$G$6</f>
        <v>0</v>
      </c>
      <c r="I186" s="84">
        <f t="shared" ref="I186" si="355">I185*$G$6</f>
        <v>0</v>
      </c>
      <c r="J186" s="84">
        <f t="shared" ref="J186" si="356">J185*$G$6</f>
        <v>0</v>
      </c>
      <c r="K186" s="84">
        <f t="shared" ref="K186" si="357">K185*$G$6</f>
        <v>0</v>
      </c>
      <c r="L186" s="84">
        <f t="shared" ref="L186" si="358">L185*$G$6</f>
        <v>0</v>
      </c>
      <c r="M186" s="84">
        <f t="shared" ref="M186" si="359">M185*$G$6</f>
        <v>0</v>
      </c>
      <c r="N186" s="84">
        <f t="shared" ref="N186" si="360">N185*$G$6</f>
        <v>0</v>
      </c>
      <c r="O186" s="84">
        <f t="shared" ref="O186" si="361">O185*$G$6</f>
        <v>0</v>
      </c>
      <c r="P186" s="73">
        <f t="shared" si="339"/>
        <v>0</v>
      </c>
    </row>
    <row r="187" spans="2:21" ht="14.85" customHeight="1" thickBot="1" x14ac:dyDescent="0.3">
      <c r="B187" s="126"/>
      <c r="C187" s="473" t="s">
        <v>88</v>
      </c>
      <c r="D187" s="474"/>
      <c r="E187" s="474"/>
      <c r="F187" s="474"/>
      <c r="G187" s="474"/>
      <c r="H187" s="474"/>
      <c r="I187" s="474"/>
      <c r="J187" s="474"/>
      <c r="K187" s="474"/>
      <c r="L187" s="474"/>
      <c r="M187" s="474"/>
      <c r="N187" s="474"/>
      <c r="O187" s="474"/>
      <c r="P187" s="74">
        <f>SUM(D187:O187)</f>
        <v>0</v>
      </c>
    </row>
    <row r="188" spans="2:21" ht="14.85" customHeight="1" x14ac:dyDescent="0.25">
      <c r="B188" s="94"/>
      <c r="C188" s="131" t="s">
        <v>89</v>
      </c>
      <c r="D188" s="364"/>
      <c r="E188" s="364"/>
      <c r="F188" s="364"/>
      <c r="G188" s="364"/>
      <c r="H188" s="364"/>
      <c r="I188" s="364"/>
      <c r="J188" s="364"/>
      <c r="K188" s="364"/>
      <c r="L188" s="364"/>
      <c r="M188" s="364"/>
      <c r="N188" s="364"/>
      <c r="O188" s="364"/>
      <c r="P188" s="73">
        <f t="shared" si="339"/>
        <v>0</v>
      </c>
    </row>
    <row r="189" spans="2:21" ht="14.85" customHeight="1" x14ac:dyDescent="0.25">
      <c r="B189" s="94"/>
      <c r="C189" s="46" t="s">
        <v>90</v>
      </c>
      <c r="D189" s="84">
        <f>D188*$G$7</f>
        <v>0</v>
      </c>
      <c r="E189" s="84">
        <f t="shared" ref="E189" si="362">E188*$G$7</f>
        <v>0</v>
      </c>
      <c r="F189" s="84">
        <f t="shared" ref="F189" si="363">F188*$G$7</f>
        <v>0</v>
      </c>
      <c r="G189" s="84">
        <f t="shared" ref="G189" si="364">G188*$G$7</f>
        <v>0</v>
      </c>
      <c r="H189" s="84">
        <f t="shared" ref="H189" si="365">H188*$G$7</f>
        <v>0</v>
      </c>
      <c r="I189" s="84">
        <f t="shared" ref="I189" si="366">I188*$G$7</f>
        <v>0</v>
      </c>
      <c r="J189" s="84">
        <f t="shared" ref="J189" si="367">J188*$G$7</f>
        <v>0</v>
      </c>
      <c r="K189" s="84">
        <f t="shared" ref="K189" si="368">K188*$G$7</f>
        <v>0</v>
      </c>
      <c r="L189" s="84">
        <f t="shared" ref="L189" si="369">L188*$G$7</f>
        <v>0</v>
      </c>
      <c r="M189" s="84">
        <f t="shared" ref="M189" si="370">M188*$G$7</f>
        <v>0</v>
      </c>
      <c r="N189" s="84">
        <f t="shared" ref="N189" si="371">N188*$G$7</f>
        <v>0</v>
      </c>
      <c r="O189" s="84">
        <f t="shared" ref="O189" si="372">O188*$G$7</f>
        <v>0</v>
      </c>
      <c r="P189" s="73">
        <f t="shared" si="339"/>
        <v>0</v>
      </c>
    </row>
    <row r="190" spans="2:21" ht="14.85" customHeight="1" thickBot="1" x14ac:dyDescent="0.3">
      <c r="B190" s="126"/>
      <c r="C190" s="473" t="s">
        <v>91</v>
      </c>
      <c r="D190" s="474"/>
      <c r="E190" s="474"/>
      <c r="F190" s="474"/>
      <c r="G190" s="474"/>
      <c r="H190" s="474"/>
      <c r="I190" s="474"/>
      <c r="J190" s="474"/>
      <c r="K190" s="474"/>
      <c r="L190" s="474"/>
      <c r="M190" s="474"/>
      <c r="N190" s="474"/>
      <c r="O190" s="474"/>
      <c r="P190" s="74">
        <f>SUM(D190:O190)</f>
        <v>0</v>
      </c>
    </row>
    <row r="191" spans="2:21" ht="15.75" thickBot="1" x14ac:dyDescent="0.3">
      <c r="B191" s="94"/>
      <c r="C191" s="490" t="s">
        <v>92</v>
      </c>
      <c r="D191" s="491">
        <f>D186+D187+D183+D184+D189+D190+D180+D181</f>
        <v>0</v>
      </c>
      <c r="E191" s="491">
        <f t="shared" ref="E191:O191" si="373">E186+E187+E183+E184+E189+E190+E180+E181</f>
        <v>0</v>
      </c>
      <c r="F191" s="491">
        <f t="shared" si="373"/>
        <v>0</v>
      </c>
      <c r="G191" s="491">
        <f t="shared" si="373"/>
        <v>0</v>
      </c>
      <c r="H191" s="491">
        <f t="shared" si="373"/>
        <v>0</v>
      </c>
      <c r="I191" s="491">
        <f t="shared" si="373"/>
        <v>0</v>
      </c>
      <c r="J191" s="491">
        <f t="shared" si="373"/>
        <v>0</v>
      </c>
      <c r="K191" s="491">
        <f t="shared" si="373"/>
        <v>0</v>
      </c>
      <c r="L191" s="491">
        <f t="shared" si="373"/>
        <v>0</v>
      </c>
      <c r="M191" s="491">
        <f t="shared" si="373"/>
        <v>0</v>
      </c>
      <c r="N191" s="491">
        <f t="shared" si="373"/>
        <v>0</v>
      </c>
      <c r="O191" s="491">
        <f t="shared" si="373"/>
        <v>0</v>
      </c>
      <c r="P191" s="492">
        <f>SUM(D191:O191)</f>
        <v>0</v>
      </c>
    </row>
    <row r="192" spans="2:21" ht="15.75" x14ac:dyDescent="0.25">
      <c r="B192" s="126"/>
      <c r="C192" s="476" t="s">
        <v>93</v>
      </c>
      <c r="D192" s="392"/>
      <c r="E192" s="392"/>
      <c r="F192" s="392"/>
      <c r="G192" s="392"/>
      <c r="H192" s="392"/>
      <c r="I192" s="392"/>
      <c r="J192" s="392"/>
      <c r="K192" s="392"/>
      <c r="L192" s="392"/>
      <c r="M192" s="392"/>
      <c r="N192" s="392"/>
      <c r="O192" s="392"/>
      <c r="P192" s="79">
        <f t="shared" ref="P192:P200" si="374">SUM(D192:O192)</f>
        <v>0</v>
      </c>
      <c r="Q192" s="90"/>
    </row>
    <row r="193" spans="2:17" x14ac:dyDescent="0.25">
      <c r="B193" s="126"/>
      <c r="C193" s="112" t="s">
        <v>94</v>
      </c>
      <c r="D193" s="84">
        <f>D192*$G$8</f>
        <v>0</v>
      </c>
      <c r="E193" s="84">
        <f t="shared" ref="E193" si="375">E192*$G$8</f>
        <v>0</v>
      </c>
      <c r="F193" s="84">
        <f t="shared" ref="F193" si="376">F192*$G$8</f>
        <v>0</v>
      </c>
      <c r="G193" s="84">
        <f t="shared" ref="G193" si="377">G192*$G$8</f>
        <v>0</v>
      </c>
      <c r="H193" s="84">
        <f t="shared" ref="H193" si="378">H192*$G$8</f>
        <v>0</v>
      </c>
      <c r="I193" s="84">
        <f t="shared" ref="I193" si="379">I192*$G$8</f>
        <v>0</v>
      </c>
      <c r="J193" s="84">
        <f t="shared" ref="J193" si="380">J192*$G$8</f>
        <v>0</v>
      </c>
      <c r="K193" s="84">
        <f t="shared" ref="K193" si="381">K192*$G$8</f>
        <v>0</v>
      </c>
      <c r="L193" s="84">
        <f t="shared" ref="L193" si="382">L192*$G$8</f>
        <v>0</v>
      </c>
      <c r="M193" s="84">
        <f t="shared" ref="M193" si="383">M192*$G$8</f>
        <v>0</v>
      </c>
      <c r="N193" s="84">
        <f t="shared" ref="N193" si="384">N192*$G$8</f>
        <v>0</v>
      </c>
      <c r="O193" s="84">
        <f t="shared" ref="O193" si="385">O192*$G$8</f>
        <v>0</v>
      </c>
      <c r="P193" s="73">
        <f t="shared" si="374"/>
        <v>0</v>
      </c>
      <c r="Q193" s="90"/>
    </row>
    <row r="194" spans="2:17" ht="15.75" thickBot="1" x14ac:dyDescent="0.3">
      <c r="B194" s="126"/>
      <c r="C194" s="391" t="s">
        <v>95</v>
      </c>
      <c r="D194" s="474"/>
      <c r="E194" s="474"/>
      <c r="F194" s="474"/>
      <c r="G194" s="474"/>
      <c r="H194" s="474"/>
      <c r="I194" s="474"/>
      <c r="J194" s="474"/>
      <c r="K194" s="474"/>
      <c r="L194" s="474"/>
      <c r="M194" s="474"/>
      <c r="N194" s="474"/>
      <c r="O194" s="474"/>
      <c r="P194" s="74">
        <f>SUM(D194:O194)</f>
        <v>0</v>
      </c>
      <c r="Q194" s="90"/>
    </row>
    <row r="195" spans="2:17" ht="15.75" x14ac:dyDescent="0.25">
      <c r="B195" s="126"/>
      <c r="C195" s="476" t="s">
        <v>96</v>
      </c>
      <c r="D195" s="364"/>
      <c r="E195" s="364"/>
      <c r="F195" s="364"/>
      <c r="G195" s="364"/>
      <c r="H195" s="364"/>
      <c r="I195" s="364"/>
      <c r="J195" s="364"/>
      <c r="K195" s="364"/>
      <c r="L195" s="364"/>
      <c r="M195" s="364"/>
      <c r="N195" s="364"/>
      <c r="O195" s="364"/>
      <c r="P195" s="73">
        <f t="shared" si="374"/>
        <v>0</v>
      </c>
      <c r="Q195" s="90"/>
    </row>
    <row r="196" spans="2:17" ht="14.85" customHeight="1" x14ac:dyDescent="0.25">
      <c r="B196" s="94"/>
      <c r="C196" s="112" t="s">
        <v>97</v>
      </c>
      <c r="D196" s="84">
        <f>D195*$G$8</f>
        <v>0</v>
      </c>
      <c r="E196" s="84">
        <f t="shared" ref="E196" si="386">E195*$G$8</f>
        <v>0</v>
      </c>
      <c r="F196" s="84">
        <f t="shared" ref="F196" si="387">F195*$G$8</f>
        <v>0</v>
      </c>
      <c r="G196" s="84">
        <f t="shared" ref="G196" si="388">G195*$G$8</f>
        <v>0</v>
      </c>
      <c r="H196" s="84">
        <f t="shared" ref="H196" si="389">H195*$G$8</f>
        <v>0</v>
      </c>
      <c r="I196" s="84">
        <f t="shared" ref="I196" si="390">I195*$G$8</f>
        <v>0</v>
      </c>
      <c r="J196" s="84">
        <f t="shared" ref="J196" si="391">J195*$G$8</f>
        <v>0</v>
      </c>
      <c r="K196" s="84">
        <f t="shared" ref="K196" si="392">K195*$G$8</f>
        <v>0</v>
      </c>
      <c r="L196" s="84">
        <f t="shared" ref="L196" si="393">L195*$G$8</f>
        <v>0</v>
      </c>
      <c r="M196" s="84">
        <f t="shared" ref="M196" si="394">M195*$G$8</f>
        <v>0</v>
      </c>
      <c r="N196" s="84">
        <f t="shared" ref="N196" si="395">N195*$G$8</f>
        <v>0</v>
      </c>
      <c r="O196" s="84">
        <f t="shared" ref="O196" si="396">O195*$G$8</f>
        <v>0</v>
      </c>
      <c r="P196" s="79">
        <f t="shared" si="374"/>
        <v>0</v>
      </c>
    </row>
    <row r="197" spans="2:17" ht="14.85" customHeight="1" thickBot="1" x14ac:dyDescent="0.3">
      <c r="B197" s="126"/>
      <c r="C197" s="391" t="s">
        <v>98</v>
      </c>
      <c r="D197" s="474"/>
      <c r="E197" s="474"/>
      <c r="F197" s="474"/>
      <c r="G197" s="474"/>
      <c r="H197" s="474"/>
      <c r="I197" s="474"/>
      <c r="J197" s="474"/>
      <c r="K197" s="474"/>
      <c r="L197" s="474"/>
      <c r="M197" s="474"/>
      <c r="N197" s="474"/>
      <c r="O197" s="474"/>
      <c r="P197" s="74">
        <f>SUM(D197:O197)</f>
        <v>0</v>
      </c>
    </row>
    <row r="198" spans="2:17" ht="14.85" customHeight="1" thickBot="1" x14ac:dyDescent="0.3">
      <c r="B198" s="94"/>
      <c r="C198" s="493" t="s">
        <v>99</v>
      </c>
      <c r="D198" s="491">
        <f>D193+D194+D196+D197</f>
        <v>0</v>
      </c>
      <c r="E198" s="491">
        <f t="shared" ref="E198:O198" si="397">E193+E194+E196+E197</f>
        <v>0</v>
      </c>
      <c r="F198" s="491">
        <f t="shared" si="397"/>
        <v>0</v>
      </c>
      <c r="G198" s="491">
        <f t="shared" si="397"/>
        <v>0</v>
      </c>
      <c r="H198" s="491">
        <f t="shared" si="397"/>
        <v>0</v>
      </c>
      <c r="I198" s="491">
        <f t="shared" si="397"/>
        <v>0</v>
      </c>
      <c r="J198" s="491">
        <f t="shared" si="397"/>
        <v>0</v>
      </c>
      <c r="K198" s="491">
        <f t="shared" si="397"/>
        <v>0</v>
      </c>
      <c r="L198" s="491">
        <f t="shared" si="397"/>
        <v>0</v>
      </c>
      <c r="M198" s="491">
        <f t="shared" si="397"/>
        <v>0</v>
      </c>
      <c r="N198" s="491">
        <f t="shared" si="397"/>
        <v>0</v>
      </c>
      <c r="O198" s="491">
        <f t="shared" si="397"/>
        <v>0</v>
      </c>
      <c r="P198" s="492">
        <f t="shared" si="374"/>
        <v>0</v>
      </c>
    </row>
    <row r="199" spans="2:17" ht="15.75" thickBot="1" x14ac:dyDescent="0.3">
      <c r="B199" s="94"/>
      <c r="C199" s="490" t="s">
        <v>100</v>
      </c>
      <c r="D199" s="497">
        <f t="shared" ref="D199:O199" si="398">D191+D198</f>
        <v>0</v>
      </c>
      <c r="E199" s="497">
        <f t="shared" si="398"/>
        <v>0</v>
      </c>
      <c r="F199" s="497">
        <f t="shared" si="398"/>
        <v>0</v>
      </c>
      <c r="G199" s="497">
        <f t="shared" si="398"/>
        <v>0</v>
      </c>
      <c r="H199" s="497">
        <f t="shared" si="398"/>
        <v>0</v>
      </c>
      <c r="I199" s="497">
        <f t="shared" si="398"/>
        <v>0</v>
      </c>
      <c r="J199" s="497">
        <f t="shared" si="398"/>
        <v>0</v>
      </c>
      <c r="K199" s="497">
        <f t="shared" si="398"/>
        <v>0</v>
      </c>
      <c r="L199" s="497">
        <f t="shared" si="398"/>
        <v>0</v>
      </c>
      <c r="M199" s="497">
        <f t="shared" si="398"/>
        <v>0</v>
      </c>
      <c r="N199" s="497">
        <f t="shared" si="398"/>
        <v>0</v>
      </c>
      <c r="O199" s="497">
        <f t="shared" si="398"/>
        <v>0</v>
      </c>
      <c r="P199" s="492">
        <f t="shared" si="374"/>
        <v>0</v>
      </c>
    </row>
    <row r="200" spans="2:17" x14ac:dyDescent="0.25">
      <c r="B200" s="94"/>
      <c r="C200" s="494" t="s">
        <v>101</v>
      </c>
      <c r="D200" s="496" t="e">
        <f t="shared" ref="D200:O200" si="399">D199/b_2028</f>
        <v>#DIV/0!</v>
      </c>
      <c r="E200" s="496" t="e">
        <f t="shared" si="399"/>
        <v>#DIV/0!</v>
      </c>
      <c r="F200" s="496" t="e">
        <f t="shared" si="399"/>
        <v>#DIV/0!</v>
      </c>
      <c r="G200" s="496" t="e">
        <f t="shared" si="399"/>
        <v>#DIV/0!</v>
      </c>
      <c r="H200" s="496" t="e">
        <f t="shared" si="399"/>
        <v>#DIV/0!</v>
      </c>
      <c r="I200" s="496" t="e">
        <f t="shared" si="399"/>
        <v>#DIV/0!</v>
      </c>
      <c r="J200" s="496" t="e">
        <f t="shared" si="399"/>
        <v>#DIV/0!</v>
      </c>
      <c r="K200" s="496" t="e">
        <f t="shared" si="399"/>
        <v>#DIV/0!</v>
      </c>
      <c r="L200" s="496" t="e">
        <f t="shared" si="399"/>
        <v>#DIV/0!</v>
      </c>
      <c r="M200" s="496" t="e">
        <f t="shared" si="399"/>
        <v>#DIV/0!</v>
      </c>
      <c r="N200" s="496" t="e">
        <f t="shared" si="399"/>
        <v>#DIV/0!</v>
      </c>
      <c r="O200" s="496" t="e">
        <f t="shared" si="399"/>
        <v>#DIV/0!</v>
      </c>
      <c r="P200" s="79" t="e">
        <f t="shared" si="374"/>
        <v>#DIV/0!</v>
      </c>
    </row>
    <row r="201" spans="2:17" ht="15.75" thickBot="1" x14ac:dyDescent="0.3">
      <c r="B201" s="111"/>
      <c r="C201" s="240" t="s">
        <v>102</v>
      </c>
      <c r="D201" s="167" t="e">
        <f t="shared" ref="D201:P201" si="400">D191/D199</f>
        <v>#DIV/0!</v>
      </c>
      <c r="E201" s="167" t="e">
        <f t="shared" si="400"/>
        <v>#DIV/0!</v>
      </c>
      <c r="F201" s="167" t="e">
        <f t="shared" si="400"/>
        <v>#DIV/0!</v>
      </c>
      <c r="G201" s="167" t="e">
        <f t="shared" si="400"/>
        <v>#DIV/0!</v>
      </c>
      <c r="H201" s="167" t="e">
        <f t="shared" si="400"/>
        <v>#DIV/0!</v>
      </c>
      <c r="I201" s="167" t="e">
        <f t="shared" si="400"/>
        <v>#DIV/0!</v>
      </c>
      <c r="J201" s="167" t="e">
        <f t="shared" si="400"/>
        <v>#DIV/0!</v>
      </c>
      <c r="K201" s="167" t="e">
        <f t="shared" si="400"/>
        <v>#DIV/0!</v>
      </c>
      <c r="L201" s="167" t="e">
        <f t="shared" si="400"/>
        <v>#DIV/0!</v>
      </c>
      <c r="M201" s="167" t="e">
        <f t="shared" si="400"/>
        <v>#DIV/0!</v>
      </c>
      <c r="N201" s="167" t="e">
        <f t="shared" si="400"/>
        <v>#DIV/0!</v>
      </c>
      <c r="O201" s="167" t="e">
        <f t="shared" si="400"/>
        <v>#DIV/0!</v>
      </c>
      <c r="P201" s="132" t="e">
        <f t="shared" si="400"/>
        <v>#DIV/0!</v>
      </c>
      <c r="Q201" s="118"/>
    </row>
  </sheetData>
  <mergeCells count="108">
    <mergeCell ref="B3:P3"/>
    <mergeCell ref="B9:P9"/>
    <mergeCell ref="D69:D70"/>
    <mergeCell ref="P15:P16"/>
    <mergeCell ref="D15:D16"/>
    <mergeCell ref="E15:E16"/>
    <mergeCell ref="F15:F16"/>
    <mergeCell ref="G15:G16"/>
    <mergeCell ref="H15:H16"/>
    <mergeCell ref="I15:I16"/>
    <mergeCell ref="J15:J16"/>
    <mergeCell ref="K15:K16"/>
    <mergeCell ref="L15:L16"/>
    <mergeCell ref="M15:M16"/>
    <mergeCell ref="D42:D43"/>
    <mergeCell ref="E42:E43"/>
    <mergeCell ref="F42:F43"/>
    <mergeCell ref="G42:G43"/>
    <mergeCell ref="H42:H43"/>
    <mergeCell ref="N15:N16"/>
    <mergeCell ref="O15:O16"/>
    <mergeCell ref="N42:N43"/>
    <mergeCell ref="O42:O43"/>
    <mergeCell ref="J42:J43"/>
    <mergeCell ref="I42:I43"/>
    <mergeCell ref="K42:K43"/>
    <mergeCell ref="P42:P43"/>
    <mergeCell ref="L42:L43"/>
    <mergeCell ref="M42:M43"/>
    <mergeCell ref="P69:P70"/>
    <mergeCell ref="N69:N70"/>
    <mergeCell ref="O69:O70"/>
    <mergeCell ref="K69:K70"/>
    <mergeCell ref="L69:L70"/>
    <mergeCell ref="M69:M70"/>
    <mergeCell ref="E96:E97"/>
    <mergeCell ref="F96:F97"/>
    <mergeCell ref="G96:G97"/>
    <mergeCell ref="H96:H97"/>
    <mergeCell ref="I96:I97"/>
    <mergeCell ref="J96:J97"/>
    <mergeCell ref="E69:E70"/>
    <mergeCell ref="F69:F70"/>
    <mergeCell ref="G69:G70"/>
    <mergeCell ref="H69:H70"/>
    <mergeCell ref="I69:I70"/>
    <mergeCell ref="J69:J70"/>
    <mergeCell ref="O150:O151"/>
    <mergeCell ref="P150:P151"/>
    <mergeCell ref="I150:I151"/>
    <mergeCell ref="J150:J151"/>
    <mergeCell ref="D123:D124"/>
    <mergeCell ref="E123:E124"/>
    <mergeCell ref="P96:P97"/>
    <mergeCell ref="P123:P124"/>
    <mergeCell ref="F123:F124"/>
    <mergeCell ref="G123:G124"/>
    <mergeCell ref="H123:H124"/>
    <mergeCell ref="I123:I124"/>
    <mergeCell ref="J123:J124"/>
    <mergeCell ref="K123:K124"/>
    <mergeCell ref="L123:L124"/>
    <mergeCell ref="M123:M124"/>
    <mergeCell ref="N123:N124"/>
    <mergeCell ref="O123:O124"/>
    <mergeCell ref="K96:K97"/>
    <mergeCell ref="L96:L97"/>
    <mergeCell ref="M96:M97"/>
    <mergeCell ref="N96:N97"/>
    <mergeCell ref="O96:O97"/>
    <mergeCell ref="D96:D97"/>
    <mergeCell ref="D150:D151"/>
    <mergeCell ref="E150:E151"/>
    <mergeCell ref="F150:F151"/>
    <mergeCell ref="G150:G151"/>
    <mergeCell ref="H150:H151"/>
    <mergeCell ref="K150:K151"/>
    <mergeCell ref="L150:L151"/>
    <mergeCell ref="M150:M151"/>
    <mergeCell ref="N150:N151"/>
    <mergeCell ref="D177:D178"/>
    <mergeCell ref="E177:E178"/>
    <mergeCell ref="F177:F178"/>
    <mergeCell ref="G177:G178"/>
    <mergeCell ref="H177:H178"/>
    <mergeCell ref="P177:P178"/>
    <mergeCell ref="B177:B178"/>
    <mergeCell ref="I177:I178"/>
    <mergeCell ref="J177:J178"/>
    <mergeCell ref="K177:K178"/>
    <mergeCell ref="L177:L178"/>
    <mergeCell ref="M177:M178"/>
    <mergeCell ref="N177:N178"/>
    <mergeCell ref="O177:O178"/>
    <mergeCell ref="C123:C124"/>
    <mergeCell ref="C150:C151"/>
    <mergeCell ref="C177:C178"/>
    <mergeCell ref="B11:C11"/>
    <mergeCell ref="B69:B70"/>
    <mergeCell ref="C15:C16"/>
    <mergeCell ref="C42:C43"/>
    <mergeCell ref="C69:C70"/>
    <mergeCell ref="C96:C97"/>
    <mergeCell ref="B123:B124"/>
    <mergeCell ref="B15:B16"/>
    <mergeCell ref="B42:B43"/>
    <mergeCell ref="B150:B151"/>
    <mergeCell ref="B96:B97"/>
  </mergeCells>
  <pageMargins left="0.70866141732283472" right="0.70866141732283472" top="0.74803149606299213" bottom="0.74803149606299213" header="0.31496062992125984" footer="0.31496062992125984"/>
  <pageSetup paperSize="9" scale="66" fitToHeight="6"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3160-04CB-4F9C-858C-411F39186378}">
  <sheetPr>
    <tabColor rgb="FFFFC000"/>
    <pageSetUpPr fitToPage="1"/>
  </sheetPr>
  <dimension ref="A1:L55"/>
  <sheetViews>
    <sheetView showGridLines="0" zoomScaleNormal="100" workbookViewId="0">
      <pane xSplit="1" ySplit="1" topLeftCell="B2" activePane="bottomRight" state="frozen"/>
      <selection pane="topRight" activeCell="B1" sqref="B1"/>
      <selection pane="bottomLeft" activeCell="A2" sqref="A2"/>
      <selection pane="bottomRight" activeCell="G39" sqref="G39"/>
    </sheetView>
  </sheetViews>
  <sheetFormatPr defaultRowHeight="15" x14ac:dyDescent="0.25"/>
  <cols>
    <col min="1" max="1" width="2.5703125" customWidth="1"/>
    <col min="2" max="2" width="48.42578125" style="3" customWidth="1"/>
    <col min="3" max="9" width="9.42578125" style="3"/>
  </cols>
  <sheetData>
    <row r="1" spans="1:12" ht="18.75" x14ac:dyDescent="0.3">
      <c r="B1" s="92" t="s">
        <v>103</v>
      </c>
    </row>
    <row r="2" spans="1:12" ht="15" customHeight="1" x14ac:dyDescent="0.3">
      <c r="B2" s="92"/>
    </row>
    <row r="3" spans="1:12" ht="53.85" customHeight="1" x14ac:dyDescent="0.25">
      <c r="B3" s="569" t="s">
        <v>104</v>
      </c>
      <c r="C3" s="579"/>
      <c r="D3" s="579"/>
      <c r="E3" s="579"/>
      <c r="F3" s="579"/>
      <c r="G3" s="579"/>
      <c r="H3" s="579"/>
      <c r="I3" s="580"/>
      <c r="L3" s="49"/>
    </row>
    <row r="4" spans="1:12" ht="14.85" customHeight="1" x14ac:dyDescent="0.25">
      <c r="A4" s="14"/>
      <c r="B4"/>
      <c r="C4" s="41"/>
      <c r="D4" s="41"/>
      <c r="E4" s="41"/>
      <c r="F4" s="41"/>
      <c r="G4" s="41"/>
      <c r="H4" s="41"/>
    </row>
    <row r="5" spans="1:12" x14ac:dyDescent="0.25">
      <c r="A5" s="5"/>
    </row>
    <row r="6" spans="1:12" x14ac:dyDescent="0.25">
      <c r="A6" s="5"/>
      <c r="B6" s="145" t="s">
        <v>10</v>
      </c>
    </row>
    <row r="7" spans="1:12" x14ac:dyDescent="0.25">
      <c r="B7" s="133"/>
    </row>
    <row r="8" spans="1:12" x14ac:dyDescent="0.25">
      <c r="B8" s="133" t="s">
        <v>105</v>
      </c>
    </row>
    <row r="9" spans="1:12" x14ac:dyDescent="0.25">
      <c r="C9" s="40">
        <f>ÜLDANDMED!C10</f>
        <v>2022</v>
      </c>
      <c r="D9" s="40">
        <f>ÜLDANDMED!D10</f>
        <v>2023</v>
      </c>
      <c r="E9" s="40">
        <f>ÜLDANDMED!E10</f>
        <v>2024</v>
      </c>
      <c r="F9" s="40">
        <f>ÜLDANDMED!F10</f>
        <v>2025</v>
      </c>
      <c r="G9" s="40">
        <f>ÜLDANDMED!G10</f>
        <v>2026</v>
      </c>
      <c r="H9" s="40">
        <f>ÜLDANDMED!H10</f>
        <v>2027</v>
      </c>
      <c r="I9" s="40">
        <f>ÜLDANDMED!I10</f>
        <v>2028</v>
      </c>
    </row>
    <row r="10" spans="1:12" x14ac:dyDescent="0.25">
      <c r="B10" s="399" t="s">
        <v>39</v>
      </c>
      <c r="C10" s="87">
        <f>ELEKTER!P12</f>
        <v>0</v>
      </c>
      <c r="D10" s="87">
        <f>ELEKTER!P17</f>
        <v>0</v>
      </c>
      <c r="E10" s="87">
        <f>ELEKTER!P22</f>
        <v>0</v>
      </c>
      <c r="F10" s="87">
        <f>ELEKTER!P27</f>
        <v>0</v>
      </c>
      <c r="G10" s="87">
        <f>ELEKTER!P32</f>
        <v>0</v>
      </c>
      <c r="H10" s="87">
        <f>ELEKTER!P37</f>
        <v>0</v>
      </c>
      <c r="I10" s="87">
        <f>ELEKTER!P42</f>
        <v>0</v>
      </c>
    </row>
    <row r="11" spans="1:12" x14ac:dyDescent="0.25">
      <c r="B11" s="399" t="s">
        <v>41</v>
      </c>
      <c r="C11" s="87">
        <f>ELEKTER!P14</f>
        <v>0</v>
      </c>
      <c r="D11" s="87">
        <f>ELEKTER!P19</f>
        <v>0</v>
      </c>
      <c r="E11" s="87">
        <f>ELEKTER!P24</f>
        <v>0</v>
      </c>
      <c r="F11" s="87">
        <f>ELEKTER!P29</f>
        <v>0</v>
      </c>
      <c r="G11" s="87">
        <f>ELEKTER!P34</f>
        <v>0</v>
      </c>
      <c r="H11" s="87">
        <f>ELEKTER!P39</f>
        <v>0</v>
      </c>
      <c r="I11" s="87">
        <f>ELEKTER!P44</f>
        <v>0</v>
      </c>
    </row>
    <row r="12" spans="1:12" ht="14.85" customHeight="1" x14ac:dyDescent="0.25">
      <c r="B12" s="135" t="s">
        <v>106</v>
      </c>
      <c r="C12" s="87">
        <f>ELEKTER!P15</f>
        <v>0</v>
      </c>
      <c r="D12" s="87">
        <f>ELEKTER!P20</f>
        <v>0</v>
      </c>
      <c r="E12" s="87">
        <f>ELEKTER!P25</f>
        <v>0</v>
      </c>
      <c r="F12" s="87">
        <f>ELEKTER!P30</f>
        <v>0</v>
      </c>
      <c r="G12" s="87">
        <f>ELEKTER!P35</f>
        <v>0</v>
      </c>
      <c r="H12" s="87">
        <f>ELEKTER!P40</f>
        <v>0</v>
      </c>
      <c r="I12" s="87">
        <f>ELEKTER!P45</f>
        <v>0</v>
      </c>
    </row>
    <row r="13" spans="1:12" x14ac:dyDescent="0.25">
      <c r="B13" s="124" t="s">
        <v>107</v>
      </c>
      <c r="C13" s="88" t="e">
        <f>ELEKTER!P16</f>
        <v>#DIV/0!</v>
      </c>
      <c r="D13" s="88" t="e">
        <f>ELEKTER!P21</f>
        <v>#DIV/0!</v>
      </c>
      <c r="E13" s="88" t="e">
        <f>ELEKTER!P26</f>
        <v>#DIV/0!</v>
      </c>
      <c r="F13" s="88" t="e">
        <f>ELEKTER!P31</f>
        <v>#DIV/0!</v>
      </c>
      <c r="G13" s="88" t="e">
        <f>ELEKTER!P36</f>
        <v>#DIV/0!</v>
      </c>
      <c r="H13" s="88" t="e">
        <f>ELEKTER!P41</f>
        <v>#DIV/0!</v>
      </c>
      <c r="I13" s="87" t="e">
        <f>ELEKTER!P46</f>
        <v>#DIV/0!</v>
      </c>
    </row>
    <row r="14" spans="1:12" x14ac:dyDescent="0.25">
      <c r="B14" s="6"/>
    </row>
    <row r="17" spans="2:9" ht="14.85" customHeight="1" x14ac:dyDescent="0.25"/>
    <row r="18" spans="2:9" x14ac:dyDescent="0.25">
      <c r="B18" s="133" t="s">
        <v>44</v>
      </c>
    </row>
    <row r="19" spans="2:9" x14ac:dyDescent="0.25">
      <c r="C19" s="40">
        <f>ÜLDANDMED!C10</f>
        <v>2022</v>
      </c>
      <c r="D19" s="40">
        <f>ÜLDANDMED!D10</f>
        <v>2023</v>
      </c>
      <c r="E19" s="40">
        <f>ÜLDANDMED!E10</f>
        <v>2024</v>
      </c>
      <c r="F19" s="40">
        <f>ÜLDANDMED!F10</f>
        <v>2025</v>
      </c>
      <c r="G19" s="40">
        <f>ÜLDANDMED!G10</f>
        <v>2026</v>
      </c>
      <c r="H19" s="40">
        <f>ÜLDANDMED!H10</f>
        <v>2027</v>
      </c>
      <c r="I19" s="40">
        <f>ÜLDANDMED!I10</f>
        <v>2028</v>
      </c>
    </row>
    <row r="20" spans="2:9" x14ac:dyDescent="0.25">
      <c r="B20" s="135" t="s">
        <v>50</v>
      </c>
      <c r="C20" s="87">
        <f>SOOJUS!P15</f>
        <v>0</v>
      </c>
      <c r="D20" s="87">
        <f>SOOJUS!P17</f>
        <v>0</v>
      </c>
      <c r="E20" s="87">
        <f>SOOJUS!P19</f>
        <v>0</v>
      </c>
      <c r="F20" s="87">
        <f>SOOJUS!P21</f>
        <v>0</v>
      </c>
      <c r="G20" s="87">
        <f>SOOJUS!P23</f>
        <v>0</v>
      </c>
      <c r="H20" s="87">
        <f>SOOJUS!P25</f>
        <v>0</v>
      </c>
      <c r="I20" s="87">
        <f>SOOJUS!P27</f>
        <v>0</v>
      </c>
    </row>
    <row r="21" spans="2:9" ht="15.75" x14ac:dyDescent="0.25">
      <c r="B21" s="124" t="s">
        <v>108</v>
      </c>
      <c r="C21" s="87" t="e">
        <f>SOOJUS!P16</f>
        <v>#DIV/0!</v>
      </c>
      <c r="D21" s="87" t="e">
        <f>SOOJUS!P18</f>
        <v>#DIV/0!</v>
      </c>
      <c r="E21" s="87" t="e">
        <f>SOOJUS!P20</f>
        <v>#DIV/0!</v>
      </c>
      <c r="F21" s="87" t="e">
        <f>SOOJUS!P22</f>
        <v>#DIV/0!</v>
      </c>
      <c r="G21" s="87" t="e">
        <f>SOOJUS!P24</f>
        <v>#DIV/0!</v>
      </c>
      <c r="H21" s="87" t="e">
        <f>SOOJUS!P26</f>
        <v>#DIV/0!</v>
      </c>
      <c r="I21" s="87" t="e">
        <f>SOOJUS!P28</f>
        <v>#DIV/0!</v>
      </c>
    </row>
    <row r="22" spans="2:9" ht="14.85" customHeight="1" x14ac:dyDescent="0.25"/>
    <row r="23" spans="2:9" ht="14.85" customHeight="1" x14ac:dyDescent="0.25"/>
    <row r="26" spans="2:9" x14ac:dyDescent="0.25">
      <c r="B26" s="133" t="s">
        <v>53</v>
      </c>
      <c r="C26" s="42"/>
      <c r="D26" s="42"/>
      <c r="E26" s="42"/>
      <c r="F26" s="42"/>
      <c r="G26" s="42"/>
      <c r="H26" s="42"/>
    </row>
    <row r="27" spans="2:9" ht="14.85" customHeight="1" x14ac:dyDescent="0.25">
      <c r="C27" s="40">
        <f>ÜLDANDMED!C10</f>
        <v>2022</v>
      </c>
      <c r="D27" s="40">
        <f>ÜLDANDMED!D10</f>
        <v>2023</v>
      </c>
      <c r="E27" s="40">
        <f>ÜLDANDMED!E10</f>
        <v>2024</v>
      </c>
      <c r="F27" s="40">
        <f>ÜLDANDMED!F10</f>
        <v>2025</v>
      </c>
      <c r="G27" s="40">
        <f>ÜLDANDMED!G10</f>
        <v>2026</v>
      </c>
      <c r="H27" s="40">
        <f>ÜLDANDMED!H10</f>
        <v>2027</v>
      </c>
      <c r="I27" s="40">
        <f>ÜLDANDMED!I10</f>
        <v>2028</v>
      </c>
    </row>
    <row r="28" spans="2:9" ht="14.85" customHeight="1" x14ac:dyDescent="0.25">
      <c r="B28" s="128" t="s">
        <v>109</v>
      </c>
      <c r="C28" s="89">
        <f>VESI!P11</f>
        <v>0</v>
      </c>
      <c r="D28" s="89">
        <f>VESI!P13</f>
        <v>0</v>
      </c>
      <c r="E28" s="89">
        <f>VESI!P15</f>
        <v>0</v>
      </c>
      <c r="F28" s="89">
        <f>VESI!P17</f>
        <v>0</v>
      </c>
      <c r="G28" s="89">
        <f>VESI!P19</f>
        <v>0</v>
      </c>
      <c r="H28" s="89">
        <f>VESI!P21</f>
        <v>0</v>
      </c>
      <c r="I28" s="87">
        <f>VESI!P23</f>
        <v>0</v>
      </c>
    </row>
    <row r="29" spans="2:9" ht="14.85" customHeight="1" x14ac:dyDescent="0.25">
      <c r="B29" s="128" t="s">
        <v>110</v>
      </c>
      <c r="C29" s="89" t="e">
        <f>VESI!P12</f>
        <v>#DIV/0!</v>
      </c>
      <c r="D29" s="89" t="e">
        <f>VESI!P14</f>
        <v>#DIV/0!</v>
      </c>
      <c r="E29" s="89" t="e">
        <f>VESI!P16</f>
        <v>#DIV/0!</v>
      </c>
      <c r="F29" s="89" t="e">
        <f>VESI!P18</f>
        <v>#DIV/0!</v>
      </c>
      <c r="G29" s="89" t="e">
        <f>VESI!P20</f>
        <v>#DIV/0!</v>
      </c>
      <c r="H29" s="89" t="e">
        <f>VESI!P22</f>
        <v>#DIV/0!</v>
      </c>
      <c r="I29" s="87" t="e">
        <f>VESI!P24</f>
        <v>#DIV/0!</v>
      </c>
    </row>
    <row r="30" spans="2:9" ht="14.85" customHeight="1" x14ac:dyDescent="0.25"/>
    <row r="34" spans="2:10" x14ac:dyDescent="0.25">
      <c r="B34" s="133" t="s">
        <v>58</v>
      </c>
    </row>
    <row r="35" spans="2:10" x14ac:dyDescent="0.25">
      <c r="C35" s="40">
        <f>ÜLDANDMED!C10</f>
        <v>2022</v>
      </c>
      <c r="D35" s="40">
        <f>ÜLDANDMED!D10</f>
        <v>2023</v>
      </c>
      <c r="E35" s="40">
        <f>ÜLDANDMED!E10</f>
        <v>2024</v>
      </c>
      <c r="F35" s="40">
        <f>ÜLDANDMED!F10</f>
        <v>2025</v>
      </c>
      <c r="G35" s="40">
        <f>ÜLDANDMED!G10</f>
        <v>2026</v>
      </c>
      <c r="H35" s="40">
        <f>ÜLDANDMED!H10</f>
        <v>2027</v>
      </c>
      <c r="I35" s="40">
        <f>ÜLDANDMED!I10</f>
        <v>2028</v>
      </c>
    </row>
    <row r="36" spans="2:10" ht="14.85" customHeight="1" x14ac:dyDescent="0.25">
      <c r="B36" s="135" t="s">
        <v>66</v>
      </c>
      <c r="C36" s="89">
        <f>PABER!D20</f>
        <v>0</v>
      </c>
      <c r="D36" s="89">
        <f>PABER!D28</f>
        <v>0</v>
      </c>
      <c r="E36" s="89">
        <f>PABER!D36</f>
        <v>0</v>
      </c>
      <c r="F36" s="89">
        <f>PABER!D44</f>
        <v>0</v>
      </c>
      <c r="G36" s="89">
        <f>PABER!D52</f>
        <v>0</v>
      </c>
      <c r="H36" s="89">
        <f>PABER!D60</f>
        <v>0</v>
      </c>
      <c r="I36" s="88">
        <f>PABER!D68</f>
        <v>0</v>
      </c>
    </row>
    <row r="37" spans="2:10" x14ac:dyDescent="0.25">
      <c r="B37" s="129" t="s">
        <v>65</v>
      </c>
      <c r="C37" s="89" t="e">
        <f>PABER!D19</f>
        <v>#DIV/0!</v>
      </c>
      <c r="D37" s="89" t="e">
        <f>PABER!D27</f>
        <v>#DIV/0!</v>
      </c>
      <c r="E37" s="89" t="e">
        <f>PABER!D35</f>
        <v>#DIV/0!</v>
      </c>
      <c r="F37" s="89" t="e">
        <f>PABER!D43</f>
        <v>#DIV/0!</v>
      </c>
      <c r="G37" s="89" t="e">
        <f>PABER!D51</f>
        <v>#DIV/0!</v>
      </c>
      <c r="H37" s="89" t="e">
        <f>PABER!D59</f>
        <v>#DIV/0!</v>
      </c>
      <c r="I37" s="88" t="e">
        <f>PABER!D67</f>
        <v>#DIV/0!</v>
      </c>
    </row>
    <row r="38" spans="2:10" x14ac:dyDescent="0.25">
      <c r="B38" s="135" t="s">
        <v>514</v>
      </c>
      <c r="C38" s="89">
        <f>PABER!D22+PABER!D24</f>
        <v>0</v>
      </c>
      <c r="D38" s="89">
        <f>PABER!D30+PABER!D32</f>
        <v>0</v>
      </c>
      <c r="E38" s="89">
        <f>PABER!D38+PABER!D40</f>
        <v>0</v>
      </c>
      <c r="F38" s="89">
        <f>PABER!D46+PABER!D48</f>
        <v>0</v>
      </c>
      <c r="G38" s="89">
        <f>PABER!D54+PABER!D56</f>
        <v>0</v>
      </c>
      <c r="H38" s="89">
        <f>PABER!D62+PABER!D64</f>
        <v>0</v>
      </c>
      <c r="I38" s="89">
        <f>PABER!D70+PABER!D72</f>
        <v>0</v>
      </c>
    </row>
    <row r="39" spans="2:10" ht="14.85" customHeight="1" x14ac:dyDescent="0.25"/>
    <row r="41" spans="2:10" x14ac:dyDescent="0.25">
      <c r="J41" s="49"/>
    </row>
    <row r="44" spans="2:10" ht="14.85" customHeight="1" x14ac:dyDescent="0.25">
      <c r="B44" s="133" t="s">
        <v>111</v>
      </c>
    </row>
    <row r="45" spans="2:10" ht="14.85" customHeight="1" x14ac:dyDescent="0.25">
      <c r="C45" s="40">
        <f>ÜLDANDMED!C10</f>
        <v>2022</v>
      </c>
      <c r="D45" s="40">
        <f>ÜLDANDMED!D10</f>
        <v>2023</v>
      </c>
      <c r="E45" s="40">
        <f>ÜLDANDMED!E10</f>
        <v>2024</v>
      </c>
      <c r="F45" s="40">
        <f>ÜLDANDMED!F10</f>
        <v>2025</v>
      </c>
      <c r="G45" s="40">
        <f>ÜLDANDMED!G10</f>
        <v>2026</v>
      </c>
      <c r="H45" s="40">
        <f>ÜLDANDMED!H10</f>
        <v>2027</v>
      </c>
      <c r="I45" s="40">
        <f>ÜLDANDMED!I10</f>
        <v>2028</v>
      </c>
    </row>
    <row r="46" spans="2:10" x14ac:dyDescent="0.25">
      <c r="B46" s="134" t="s">
        <v>82</v>
      </c>
      <c r="C46" s="88">
        <f>JÄÄTMED!P18+JÄÄTMED!P19</f>
        <v>0</v>
      </c>
      <c r="D46" s="88">
        <f>JÄÄTMED!P45+JÄÄTMED!P46</f>
        <v>0</v>
      </c>
      <c r="E46" s="88">
        <f>JÄÄTMED!P72+JÄÄTMED!P73</f>
        <v>0</v>
      </c>
      <c r="F46" s="88">
        <f>JÄÄTMED!P99+JÄÄTMED!P100</f>
        <v>0</v>
      </c>
      <c r="G46" s="88">
        <f>JÄÄTMED!P126+JÄÄTMED!P127</f>
        <v>0</v>
      </c>
      <c r="H46" s="88">
        <f>JÄÄTMED!P153+JÄÄTMED!P154</f>
        <v>0</v>
      </c>
      <c r="I46" s="87">
        <f>JÄÄTMED!P180+JÄÄTMED!P181</f>
        <v>0</v>
      </c>
    </row>
    <row r="47" spans="2:10" x14ac:dyDescent="0.25">
      <c r="B47" s="134" t="s">
        <v>85</v>
      </c>
      <c r="C47" s="88">
        <f>JÄÄTMED!P21+JÄÄTMED!P22</f>
        <v>0</v>
      </c>
      <c r="D47" s="88">
        <f>JÄÄTMED!P48+JÄÄTMED!P49</f>
        <v>0</v>
      </c>
      <c r="E47" s="88">
        <f>JÄÄTMED!P75+JÄÄTMED!P76</f>
        <v>0</v>
      </c>
      <c r="F47" s="88">
        <f>JÄÄTMED!P102+JÄÄTMED!P103</f>
        <v>0</v>
      </c>
      <c r="G47" s="88">
        <f>JÄÄTMED!P129+JÄÄTMED!P130</f>
        <v>0</v>
      </c>
      <c r="H47" s="88">
        <f>JÄÄTMED!P156+JÄÄTMED!P157</f>
        <v>0</v>
      </c>
      <c r="I47" s="88">
        <f>JÄÄTMED!P183+JÄÄTMED!P184</f>
        <v>0</v>
      </c>
    </row>
    <row r="48" spans="2:10" x14ac:dyDescent="0.25">
      <c r="B48" s="135" t="s">
        <v>88</v>
      </c>
      <c r="C48" s="88">
        <f>JÄÄTMED!P24+JÄÄTMED!P25</f>
        <v>0</v>
      </c>
      <c r="D48" s="88">
        <f>JÄÄTMED!P51+JÄÄTMED!P52</f>
        <v>0</v>
      </c>
      <c r="E48" s="88">
        <f>JÄÄTMED!P78+JÄÄTMED!P79</f>
        <v>0</v>
      </c>
      <c r="F48" s="88">
        <f>JÄÄTMED!P105+JÄÄTMED!P106</f>
        <v>0</v>
      </c>
      <c r="G48" s="88">
        <f>JÄÄTMED!P132+JÄÄTMED!P133</f>
        <v>0</v>
      </c>
      <c r="H48" s="88">
        <f>JÄÄTMED!P159+JÄÄTMED!P160</f>
        <v>0</v>
      </c>
      <c r="I48" s="87">
        <f>JÄÄTMED!P186+JÄÄTMED!P187</f>
        <v>0</v>
      </c>
    </row>
    <row r="49" spans="2:9" x14ac:dyDescent="0.25">
      <c r="B49" s="134" t="s">
        <v>112</v>
      </c>
      <c r="C49" s="88">
        <f>JÄÄTMED!P27+JÄÄTMED!P28</f>
        <v>0</v>
      </c>
      <c r="D49" s="88">
        <f>JÄÄTMED!P54</f>
        <v>0</v>
      </c>
      <c r="E49" s="88">
        <f>JÄÄTMED!P81</f>
        <v>0</v>
      </c>
      <c r="F49" s="88">
        <f>JÄÄTMED!P108</f>
        <v>0</v>
      </c>
      <c r="G49" s="88">
        <f>JÄÄTMED!P135</f>
        <v>0</v>
      </c>
      <c r="H49" s="88">
        <f>JÄÄTMED!P162</f>
        <v>0</v>
      </c>
      <c r="I49" s="87">
        <f>JÄÄTMED!P189</f>
        <v>0</v>
      </c>
    </row>
    <row r="50" spans="2:9" x14ac:dyDescent="0.25">
      <c r="B50" s="464" t="s">
        <v>113</v>
      </c>
      <c r="C50" s="136">
        <f>JÄÄTMED!P29</f>
        <v>0</v>
      </c>
      <c r="D50" s="136">
        <f>JÄÄTMED!P56</f>
        <v>0</v>
      </c>
      <c r="E50" s="136">
        <f>JÄÄTMED!P83</f>
        <v>0</v>
      </c>
      <c r="F50" s="136">
        <f>JÄÄTMED!P110</f>
        <v>0</v>
      </c>
      <c r="G50" s="136">
        <f>JÄÄTMED!P137</f>
        <v>0</v>
      </c>
      <c r="H50" s="136">
        <f>JÄÄTMED!P164</f>
        <v>0</v>
      </c>
      <c r="I50" s="136">
        <f>JÄÄTMED!P191</f>
        <v>0</v>
      </c>
    </row>
    <row r="51" spans="2:9" x14ac:dyDescent="0.25">
      <c r="B51" s="135" t="s">
        <v>114</v>
      </c>
      <c r="C51" s="88">
        <f>JÄÄTMED!P36</f>
        <v>0</v>
      </c>
      <c r="D51" s="88">
        <f>JÄÄTMED!P63</f>
        <v>0</v>
      </c>
      <c r="E51" s="88">
        <f>JÄÄTMED!P90</f>
        <v>0</v>
      </c>
      <c r="F51" s="88">
        <f>JÄÄTMED!P117</f>
        <v>0</v>
      </c>
      <c r="G51" s="88">
        <f>JÄÄTMED!P144</f>
        <v>0</v>
      </c>
      <c r="H51" s="88">
        <f>JÄÄTMED!P171</f>
        <v>0</v>
      </c>
      <c r="I51" s="87">
        <f>JÄÄTMED!P198</f>
        <v>0</v>
      </c>
    </row>
    <row r="52" spans="2:9" x14ac:dyDescent="0.25">
      <c r="B52" s="465" t="s">
        <v>115</v>
      </c>
      <c r="C52" s="89">
        <f>C50+C51</f>
        <v>0</v>
      </c>
      <c r="D52" s="89">
        <f t="shared" ref="D52:I52" si="0">D50+D51</f>
        <v>0</v>
      </c>
      <c r="E52" s="89">
        <f t="shared" si="0"/>
        <v>0</v>
      </c>
      <c r="F52" s="89">
        <f t="shared" si="0"/>
        <v>0</v>
      </c>
      <c r="G52" s="89">
        <f t="shared" si="0"/>
        <v>0</v>
      </c>
      <c r="H52" s="89">
        <f t="shared" si="0"/>
        <v>0</v>
      </c>
      <c r="I52" s="89">
        <f t="shared" si="0"/>
        <v>0</v>
      </c>
    </row>
    <row r="53" spans="2:9" x14ac:dyDescent="0.25">
      <c r="B53" s="466" t="s">
        <v>116</v>
      </c>
      <c r="C53" s="89">
        <f t="shared" ref="C53:I53" si="1">C52/1000</f>
        <v>0</v>
      </c>
      <c r="D53" s="89">
        <f t="shared" si="1"/>
        <v>0</v>
      </c>
      <c r="E53" s="89">
        <f t="shared" si="1"/>
        <v>0</v>
      </c>
      <c r="F53" s="89">
        <f t="shared" si="1"/>
        <v>0</v>
      </c>
      <c r="G53" s="89">
        <f t="shared" si="1"/>
        <v>0</v>
      </c>
      <c r="H53" s="89">
        <f t="shared" si="1"/>
        <v>0</v>
      </c>
      <c r="I53" s="89">
        <f t="shared" si="1"/>
        <v>0</v>
      </c>
    </row>
    <row r="54" spans="2:9" x14ac:dyDescent="0.25">
      <c r="B54" s="465" t="s">
        <v>101</v>
      </c>
      <c r="C54" s="89" t="e">
        <f>JÄÄTMED!P38</f>
        <v>#DIV/0!</v>
      </c>
      <c r="D54" s="89" t="e">
        <f>JÄÄTMED!P65</f>
        <v>#DIV/0!</v>
      </c>
      <c r="E54" s="89" t="e">
        <f>JÄÄTMED!P92</f>
        <v>#DIV/0!</v>
      </c>
      <c r="F54" s="89" t="e">
        <f>JÄÄTMED!P119</f>
        <v>#DIV/0!</v>
      </c>
      <c r="G54" s="89" t="e">
        <f>JÄÄTMED!P146</f>
        <v>#DIV/0!</v>
      </c>
      <c r="H54" s="89" t="e">
        <f>JÄÄTMED!P173</f>
        <v>#DIV/0!</v>
      </c>
      <c r="I54" s="89" t="e">
        <f>JÄÄTMED!P200</f>
        <v>#DIV/0!</v>
      </c>
    </row>
    <row r="55" spans="2:9" x14ac:dyDescent="0.25">
      <c r="B55" s="467" t="s">
        <v>102</v>
      </c>
      <c r="C55" s="137" t="e">
        <f>JÄÄTMED!P39</f>
        <v>#DIV/0!</v>
      </c>
      <c r="D55" s="138" t="e">
        <f>JÄÄTMED!P66</f>
        <v>#DIV/0!</v>
      </c>
      <c r="E55" s="138" t="e">
        <f>JÄÄTMED!P93</f>
        <v>#DIV/0!</v>
      </c>
      <c r="F55" s="138" t="e">
        <f>JÄÄTMED!P120</f>
        <v>#DIV/0!</v>
      </c>
      <c r="G55" s="138" t="e">
        <f>JÄÄTMED!P147</f>
        <v>#DIV/0!</v>
      </c>
      <c r="H55" s="138" t="e">
        <f>JÄÄTMED!P174</f>
        <v>#DIV/0!</v>
      </c>
      <c r="I55" s="139" t="e">
        <f>JÄÄTMED!P201</f>
        <v>#DIV/0!</v>
      </c>
    </row>
  </sheetData>
  <mergeCells count="1">
    <mergeCell ref="B3:I3"/>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B50-E093-4341-83A2-DF5960AF8061}">
  <sheetPr>
    <tabColor rgb="FFF4B084"/>
    <pageSetUpPr fitToPage="1"/>
  </sheetPr>
  <dimension ref="A1:Q100"/>
  <sheetViews>
    <sheetView showGridLines="0" zoomScaleNormal="100" workbookViewId="0">
      <pane xSplit="1" ySplit="1" topLeftCell="B2" activePane="bottomRight" state="frozen"/>
      <selection pane="topRight" activeCell="B1" sqref="B1"/>
      <selection pane="bottomLeft" activeCell="A3" sqref="A3"/>
      <selection pane="bottomRight" sqref="A1:XFD1"/>
    </sheetView>
  </sheetViews>
  <sheetFormatPr defaultRowHeight="14.85" customHeight="1" x14ac:dyDescent="0.25"/>
  <cols>
    <col min="1" max="1" width="2.5703125" customWidth="1"/>
    <col min="2" max="2" width="7.5703125" customWidth="1"/>
    <col min="3" max="3" width="51.5703125" style="3" bestFit="1" customWidth="1"/>
    <col min="4" max="4" width="15.5703125" style="81" customWidth="1"/>
    <col min="5" max="5" width="15.5703125" customWidth="1"/>
    <col min="6" max="6" width="8.5703125" customWidth="1"/>
  </cols>
  <sheetData>
    <row r="1" spans="1:17" ht="18.600000000000001" customHeight="1" x14ac:dyDescent="0.35">
      <c r="B1" s="28" t="s">
        <v>117</v>
      </c>
      <c r="C1" s="97"/>
    </row>
    <row r="2" spans="1:17" ht="14.85" customHeight="1" x14ac:dyDescent="0.3">
      <c r="B2" s="22"/>
      <c r="C2" s="98"/>
    </row>
    <row r="3" spans="1:17" ht="138" customHeight="1" x14ac:dyDescent="0.25">
      <c r="B3" s="569" t="s">
        <v>502</v>
      </c>
      <c r="C3" s="579"/>
      <c r="D3" s="579"/>
      <c r="E3" s="580"/>
    </row>
    <row r="5" spans="1:17" ht="14.85" customHeight="1" x14ac:dyDescent="0.25">
      <c r="B5" s="60" t="s">
        <v>8</v>
      </c>
      <c r="C5" s="99"/>
    </row>
    <row r="6" spans="1:17" ht="14.85" customHeight="1" x14ac:dyDescent="0.25">
      <c r="C6" s="166" t="s">
        <v>9</v>
      </c>
    </row>
    <row r="7" spans="1:17" ht="14.85" customHeight="1" x14ac:dyDescent="0.25">
      <c r="A7" s="1"/>
      <c r="B7" s="3"/>
      <c r="C7" s="163" t="s">
        <v>10</v>
      </c>
      <c r="D7" s="24"/>
      <c r="E7" s="3"/>
      <c r="F7" s="3"/>
      <c r="G7" s="24"/>
      <c r="H7" s="24"/>
      <c r="I7" s="24"/>
      <c r="J7" s="24"/>
      <c r="K7" s="24"/>
      <c r="L7" s="24"/>
      <c r="M7" s="24"/>
      <c r="N7" s="24"/>
      <c r="O7" s="24"/>
      <c r="P7" s="57"/>
      <c r="Q7" s="18"/>
    </row>
    <row r="8" spans="1:17" ht="14.85" customHeight="1" thickBot="1" x14ac:dyDescent="0.3"/>
    <row r="9" spans="1:17" ht="14.85" customHeight="1" x14ac:dyDescent="0.25">
      <c r="B9" s="613" t="s">
        <v>21</v>
      </c>
      <c r="C9" s="613" t="s">
        <v>22</v>
      </c>
      <c r="D9" s="647" t="s">
        <v>118</v>
      </c>
      <c r="E9" s="623" t="s">
        <v>119</v>
      </c>
    </row>
    <row r="10" spans="1:17" ht="14.85" customHeight="1" thickBot="1" x14ac:dyDescent="0.3">
      <c r="B10" s="615"/>
      <c r="C10" s="615"/>
      <c r="D10" s="648"/>
      <c r="E10" s="649"/>
    </row>
    <row r="11" spans="1:17" ht="14.85" customHeight="1" x14ac:dyDescent="0.25">
      <c r="B11" s="156">
        <f>ÜLDANDMED!C10</f>
        <v>2022</v>
      </c>
      <c r="C11" s="93" t="s">
        <v>120</v>
      </c>
      <c r="D11" s="356"/>
      <c r="E11" s="357"/>
    </row>
    <row r="12" spans="1:17" ht="14.85" customHeight="1" x14ac:dyDescent="0.25">
      <c r="B12" s="94"/>
      <c r="C12" s="85" t="s">
        <v>121</v>
      </c>
      <c r="D12" s="95"/>
      <c r="E12" s="358">
        <f>'KHG_OMA SÕIDUKID M1'!D12*kütus_bensiin_sõiduauto_2022/1000</f>
        <v>0</v>
      </c>
    </row>
    <row r="13" spans="1:17" ht="14.85" customHeight="1" x14ac:dyDescent="0.25">
      <c r="B13" s="94"/>
      <c r="C13" s="85" t="s">
        <v>122</v>
      </c>
      <c r="D13" s="95"/>
      <c r="E13" s="358">
        <f>'KHG_OMA SÕIDUKID M1'!D13*kütus_diisel_sõiduauto_2022/1000</f>
        <v>0</v>
      </c>
    </row>
    <row r="14" spans="1:17" ht="14.85" customHeight="1" x14ac:dyDescent="0.25">
      <c r="B14" s="94"/>
      <c r="C14" s="85" t="s">
        <v>123</v>
      </c>
      <c r="D14" s="95"/>
      <c r="E14" s="358">
        <f>'KHG_OMA SÕIDUKID M1'!D14*kütus_bioCNG_sõiduauto_2022/1000</f>
        <v>0</v>
      </c>
    </row>
    <row r="15" spans="1:17" ht="14.85" customHeight="1" x14ac:dyDescent="0.25">
      <c r="B15" s="94"/>
      <c r="C15" s="85" t="s">
        <v>124</v>
      </c>
      <c r="D15" s="95"/>
      <c r="E15" s="358">
        <f>'KHG_OMA SÕIDUKID M1'!D15*kütus_CNG_sõiduauto_2022/1000</f>
        <v>0</v>
      </c>
    </row>
    <row r="16" spans="1:17" ht="14.85" customHeight="1" x14ac:dyDescent="0.25">
      <c r="B16" s="94"/>
      <c r="C16" s="100" t="s">
        <v>125</v>
      </c>
      <c r="D16" s="95"/>
      <c r="E16" s="358">
        <f>'KHG_OMA SÕIDUKID M1'!D16*kütus_taastuvelekter/1000</f>
        <v>0</v>
      </c>
    </row>
    <row r="17" spans="2:5" ht="14.85" customHeight="1" thickBot="1" x14ac:dyDescent="0.3">
      <c r="B17" s="94"/>
      <c r="C17" s="321" t="s">
        <v>126</v>
      </c>
      <c r="D17" s="95"/>
      <c r="E17" s="358">
        <f>'KHG_OMA SÕIDUKID M1'!D17*segajääk_2022/1000</f>
        <v>0</v>
      </c>
    </row>
    <row r="18" spans="2:5" ht="14.85" customHeight="1" x14ac:dyDescent="0.25">
      <c r="B18" s="94"/>
      <c r="C18" s="93" t="s">
        <v>127</v>
      </c>
      <c r="D18" s="360"/>
      <c r="E18" s="361">
        <f>SUM(E12:E15)</f>
        <v>0</v>
      </c>
    </row>
    <row r="19" spans="2:5" ht="14.85" customHeight="1" thickBot="1" x14ac:dyDescent="0.3">
      <c r="B19" s="111"/>
      <c r="C19" s="280" t="s">
        <v>128</v>
      </c>
      <c r="D19" s="362"/>
      <c r="E19" s="311">
        <f>SUM(E16:E17)</f>
        <v>0</v>
      </c>
    </row>
    <row r="20" spans="2:5" ht="14.85" customHeight="1" x14ac:dyDescent="0.25">
      <c r="B20" s="310"/>
      <c r="C20" s="323"/>
      <c r="D20" s="359"/>
    </row>
    <row r="21" spans="2:5" ht="14.85" customHeight="1" thickBot="1" x14ac:dyDescent="0.3">
      <c r="B21" s="310"/>
      <c r="C21" s="323"/>
      <c r="D21" s="359"/>
    </row>
    <row r="22" spans="2:5" ht="14.85" customHeight="1" x14ac:dyDescent="0.25">
      <c r="B22" s="613" t="s">
        <v>21</v>
      </c>
      <c r="C22" s="613" t="s">
        <v>22</v>
      </c>
      <c r="D22" s="647" t="s">
        <v>118</v>
      </c>
      <c r="E22" s="623" t="s">
        <v>119</v>
      </c>
    </row>
    <row r="23" spans="2:5" ht="14.85" customHeight="1" thickBot="1" x14ac:dyDescent="0.3">
      <c r="B23" s="615"/>
      <c r="C23" s="615"/>
      <c r="D23" s="648"/>
      <c r="E23" s="649"/>
    </row>
    <row r="24" spans="2:5" ht="14.85" customHeight="1" x14ac:dyDescent="0.25">
      <c r="B24" s="156">
        <f>ÜLDANDMED!D10</f>
        <v>2023</v>
      </c>
      <c r="C24" s="93" t="s">
        <v>120</v>
      </c>
      <c r="D24" s="356"/>
      <c r="E24" s="357"/>
    </row>
    <row r="25" spans="2:5" ht="14.85" customHeight="1" x14ac:dyDescent="0.25">
      <c r="B25" s="94"/>
      <c r="C25" s="85" t="s">
        <v>121</v>
      </c>
      <c r="D25" s="95"/>
      <c r="E25" s="358">
        <f>'KHG_OMA SÕIDUKID M1'!D25*kütus_bensiin_sõiduauto_2023/1000</f>
        <v>0</v>
      </c>
    </row>
    <row r="26" spans="2:5" ht="14.85" customHeight="1" x14ac:dyDescent="0.25">
      <c r="B26" s="94"/>
      <c r="C26" s="85" t="s">
        <v>122</v>
      </c>
      <c r="D26" s="95"/>
      <c r="E26" s="358">
        <f>'KHG_OMA SÕIDUKID M1'!D26*kütus_diisel_sõiduauto_2023/1000</f>
        <v>0</v>
      </c>
    </row>
    <row r="27" spans="2:5" ht="14.85" customHeight="1" x14ac:dyDescent="0.25">
      <c r="B27" s="94"/>
      <c r="C27" s="85" t="s">
        <v>123</v>
      </c>
      <c r="D27" s="95"/>
      <c r="E27" s="358">
        <f>'KHG_OMA SÕIDUKID M1'!D27*kütus_bioCNG_sõiduauto_2023/1000</f>
        <v>0</v>
      </c>
    </row>
    <row r="28" spans="2:5" ht="14.85" customHeight="1" x14ac:dyDescent="0.25">
      <c r="B28" s="94"/>
      <c r="C28" s="85" t="s">
        <v>124</v>
      </c>
      <c r="D28" s="95"/>
      <c r="E28" s="358">
        <f>'KHG_OMA SÕIDUKID M1'!D28*kütus_CNG_sõiduauto_2023/1000</f>
        <v>0</v>
      </c>
    </row>
    <row r="29" spans="2:5" ht="14.85" customHeight="1" x14ac:dyDescent="0.25">
      <c r="B29" s="94"/>
      <c r="C29" s="100" t="s">
        <v>125</v>
      </c>
      <c r="D29" s="95"/>
      <c r="E29" s="358">
        <f>'KHG_OMA SÕIDUKID M1'!D29*kütus_taastuvelekter/1000</f>
        <v>0</v>
      </c>
    </row>
    <row r="30" spans="2:5" ht="14.85" customHeight="1" thickBot="1" x14ac:dyDescent="0.3">
      <c r="B30" s="94"/>
      <c r="C30" s="321" t="s">
        <v>126</v>
      </c>
      <c r="D30" s="95"/>
      <c r="E30" s="358">
        <f>'KHG_OMA SÕIDUKID M1'!D30*segajääk_2023/1000</f>
        <v>0</v>
      </c>
    </row>
    <row r="31" spans="2:5" ht="14.85" customHeight="1" x14ac:dyDescent="0.25">
      <c r="B31" s="94"/>
      <c r="C31" s="93" t="s">
        <v>127</v>
      </c>
      <c r="D31" s="360"/>
      <c r="E31" s="361">
        <f>SUM(E25:E28)</f>
        <v>0</v>
      </c>
    </row>
    <row r="32" spans="2:5" ht="14.85" customHeight="1" thickBot="1" x14ac:dyDescent="0.3">
      <c r="B32" s="111"/>
      <c r="C32" s="280" t="s">
        <v>128</v>
      </c>
      <c r="D32" s="362"/>
      <c r="E32" s="311">
        <f>SUM(E29:E30)</f>
        <v>0</v>
      </c>
    </row>
    <row r="33" spans="2:5" ht="14.85" customHeight="1" x14ac:dyDescent="0.25">
      <c r="B33" s="310"/>
      <c r="C33" s="323"/>
      <c r="D33" s="359"/>
      <c r="E33" s="363"/>
    </row>
    <row r="34" spans="2:5" ht="14.85" customHeight="1" thickBot="1" x14ac:dyDescent="0.3">
      <c r="B34" s="310"/>
      <c r="C34" s="323"/>
      <c r="D34" s="359"/>
    </row>
    <row r="35" spans="2:5" ht="14.85" customHeight="1" x14ac:dyDescent="0.25">
      <c r="B35" s="613" t="s">
        <v>21</v>
      </c>
      <c r="C35" s="613" t="s">
        <v>22</v>
      </c>
      <c r="D35" s="647" t="s">
        <v>118</v>
      </c>
      <c r="E35" s="623" t="s">
        <v>119</v>
      </c>
    </row>
    <row r="36" spans="2:5" ht="14.85" customHeight="1" thickBot="1" x14ac:dyDescent="0.3">
      <c r="B36" s="615"/>
      <c r="C36" s="615"/>
      <c r="D36" s="648"/>
      <c r="E36" s="649"/>
    </row>
    <row r="37" spans="2:5" ht="14.85" customHeight="1" x14ac:dyDescent="0.25">
      <c r="B37" s="156">
        <f>ÜLDANDMED!E10</f>
        <v>2024</v>
      </c>
      <c r="C37" s="93" t="s">
        <v>120</v>
      </c>
      <c r="D37" s="356"/>
      <c r="E37" s="357"/>
    </row>
    <row r="38" spans="2:5" ht="14.85" customHeight="1" x14ac:dyDescent="0.25">
      <c r="B38" s="94"/>
      <c r="C38" s="85" t="s">
        <v>121</v>
      </c>
      <c r="D38" s="95"/>
      <c r="E38" s="358">
        <f>'KHG_OMA SÕIDUKID M1'!D38*kütus_bensiin_sõiduauto_2024/1000</f>
        <v>0</v>
      </c>
    </row>
    <row r="39" spans="2:5" ht="14.85" customHeight="1" x14ac:dyDescent="0.25">
      <c r="B39" s="94"/>
      <c r="C39" s="85" t="s">
        <v>122</v>
      </c>
      <c r="D39" s="95"/>
      <c r="E39" s="358">
        <f>'KHG_OMA SÕIDUKID M1'!D39*kütus_diisel_sõiduauto_2024/1000</f>
        <v>0</v>
      </c>
    </row>
    <row r="40" spans="2:5" ht="14.85" customHeight="1" x14ac:dyDescent="0.25">
      <c r="B40" s="94"/>
      <c r="C40" s="85" t="s">
        <v>123</v>
      </c>
      <c r="D40" s="95"/>
      <c r="E40" s="358">
        <f>'KHG_OMA SÕIDUKID M1'!D40*kütus_bioCNG_sõiduauto_2024/1000</f>
        <v>0</v>
      </c>
    </row>
    <row r="41" spans="2:5" ht="14.85" customHeight="1" x14ac:dyDescent="0.25">
      <c r="B41" s="94"/>
      <c r="C41" s="85" t="s">
        <v>124</v>
      </c>
      <c r="D41" s="95"/>
      <c r="E41" s="358">
        <f>'KHG_OMA SÕIDUKID M1'!D41*kütus_CNG_sõiduauto_2024/1000</f>
        <v>0</v>
      </c>
    </row>
    <row r="42" spans="2:5" ht="14.85" customHeight="1" x14ac:dyDescent="0.25">
      <c r="B42" s="94"/>
      <c r="C42" s="100" t="s">
        <v>125</v>
      </c>
      <c r="D42" s="95"/>
      <c r="E42" s="358">
        <f>'KHG_OMA SÕIDUKID M1'!D42*kütus_taastuvelekter/1000</f>
        <v>0</v>
      </c>
    </row>
    <row r="43" spans="2:5" ht="14.85" customHeight="1" thickBot="1" x14ac:dyDescent="0.3">
      <c r="B43" s="94"/>
      <c r="C43" s="321" t="s">
        <v>126</v>
      </c>
      <c r="D43" s="95"/>
      <c r="E43" s="358">
        <f>'KHG_OMA SÕIDUKID M1'!D43*segajääk_2024/1000</f>
        <v>0</v>
      </c>
    </row>
    <row r="44" spans="2:5" ht="14.85" customHeight="1" x14ac:dyDescent="0.25">
      <c r="B44" s="94"/>
      <c r="C44" s="93" t="s">
        <v>127</v>
      </c>
      <c r="D44" s="360"/>
      <c r="E44" s="361">
        <f>SUM(E38:E41)</f>
        <v>0</v>
      </c>
    </row>
    <row r="45" spans="2:5" ht="14.85" customHeight="1" thickBot="1" x14ac:dyDescent="0.3">
      <c r="B45" s="111"/>
      <c r="C45" s="280" t="s">
        <v>128</v>
      </c>
      <c r="D45" s="362"/>
      <c r="E45" s="311">
        <f>SUM(E42:E43)</f>
        <v>0</v>
      </c>
    </row>
    <row r="46" spans="2:5" ht="14.85" customHeight="1" x14ac:dyDescent="0.25">
      <c r="B46" s="310"/>
      <c r="C46" s="323"/>
      <c r="D46" s="359"/>
      <c r="E46" s="363"/>
    </row>
    <row r="47" spans="2:5" ht="14.85" customHeight="1" thickBot="1" x14ac:dyDescent="0.3">
      <c r="B47" s="310"/>
      <c r="C47" s="323"/>
      <c r="D47" s="359"/>
    </row>
    <row r="48" spans="2:5" ht="14.85" customHeight="1" x14ac:dyDescent="0.25">
      <c r="B48" s="613" t="s">
        <v>21</v>
      </c>
      <c r="C48" s="613" t="s">
        <v>22</v>
      </c>
      <c r="D48" s="647" t="s">
        <v>118</v>
      </c>
      <c r="E48" s="623" t="s">
        <v>119</v>
      </c>
    </row>
    <row r="49" spans="2:5" ht="14.85" customHeight="1" thickBot="1" x14ac:dyDescent="0.3">
      <c r="B49" s="615"/>
      <c r="C49" s="615"/>
      <c r="D49" s="648"/>
      <c r="E49" s="649"/>
    </row>
    <row r="50" spans="2:5" ht="14.85" customHeight="1" x14ac:dyDescent="0.25">
      <c r="B50" s="156">
        <f>ÜLDANDMED!F10</f>
        <v>2025</v>
      </c>
      <c r="C50" s="93" t="s">
        <v>120</v>
      </c>
      <c r="D50" s="356"/>
      <c r="E50" s="357"/>
    </row>
    <row r="51" spans="2:5" ht="14.85" customHeight="1" x14ac:dyDescent="0.25">
      <c r="B51" s="94"/>
      <c r="C51" s="85" t="s">
        <v>121</v>
      </c>
      <c r="D51" s="95"/>
      <c r="E51" s="358">
        <f>'KHG_OMA SÕIDUKID M1'!D51*kütus_bensiin_sõiduauto_2025/1000</f>
        <v>0</v>
      </c>
    </row>
    <row r="52" spans="2:5" ht="14.85" customHeight="1" x14ac:dyDescent="0.25">
      <c r="B52" s="94"/>
      <c r="C52" s="85" t="s">
        <v>122</v>
      </c>
      <c r="D52" s="95"/>
      <c r="E52" s="358">
        <f>'KHG_OMA SÕIDUKID M1'!D52*kütus_diisel_sõiduauto_2025/1000</f>
        <v>0</v>
      </c>
    </row>
    <row r="53" spans="2:5" ht="14.85" customHeight="1" x14ac:dyDescent="0.25">
      <c r="B53" s="94"/>
      <c r="C53" s="85" t="s">
        <v>123</v>
      </c>
      <c r="D53" s="95"/>
      <c r="E53" s="358">
        <f>'KHG_OMA SÕIDUKID M1'!D53*kütus_bioCNG_sõiduauto_2025/1000</f>
        <v>0</v>
      </c>
    </row>
    <row r="54" spans="2:5" ht="14.85" customHeight="1" x14ac:dyDescent="0.25">
      <c r="B54" s="94"/>
      <c r="C54" s="85" t="s">
        <v>124</v>
      </c>
      <c r="D54" s="95"/>
      <c r="E54" s="358">
        <f>'KHG_OMA SÕIDUKID M1'!D54*kütus_CNG_sõiduauto_2025/1000</f>
        <v>0</v>
      </c>
    </row>
    <row r="55" spans="2:5" ht="14.85" customHeight="1" x14ac:dyDescent="0.25">
      <c r="B55" s="94"/>
      <c r="C55" s="100" t="s">
        <v>125</v>
      </c>
      <c r="D55" s="95"/>
      <c r="E55" s="358">
        <f>'KHG_OMA SÕIDUKID M1'!D55*kütus_taastuvelekter/1000</f>
        <v>0</v>
      </c>
    </row>
    <row r="56" spans="2:5" ht="14.85" customHeight="1" thickBot="1" x14ac:dyDescent="0.3">
      <c r="B56" s="94"/>
      <c r="C56" s="321" t="s">
        <v>126</v>
      </c>
      <c r="D56" s="95"/>
      <c r="E56" s="358">
        <f>'KHG_OMA SÕIDUKID M1'!D56*segajääk_2025/1000</f>
        <v>0</v>
      </c>
    </row>
    <row r="57" spans="2:5" ht="14.85" customHeight="1" x14ac:dyDescent="0.25">
      <c r="B57" s="94"/>
      <c r="C57" s="93" t="s">
        <v>127</v>
      </c>
      <c r="D57" s="360"/>
      <c r="E57" s="361">
        <f>SUM(E51:E54)</f>
        <v>0</v>
      </c>
    </row>
    <row r="58" spans="2:5" ht="14.85" customHeight="1" thickBot="1" x14ac:dyDescent="0.3">
      <c r="B58" s="111"/>
      <c r="C58" s="280" t="s">
        <v>128</v>
      </c>
      <c r="D58" s="362"/>
      <c r="E58" s="311">
        <f>SUM(E55:E56)</f>
        <v>0</v>
      </c>
    </row>
    <row r="59" spans="2:5" ht="14.85" customHeight="1" x14ac:dyDescent="0.25">
      <c r="C59"/>
      <c r="D59"/>
    </row>
    <row r="60" spans="2:5" ht="14.85" customHeight="1" thickBot="1" x14ac:dyDescent="0.3">
      <c r="C60"/>
      <c r="D60"/>
    </row>
    <row r="61" spans="2:5" ht="14.85" customHeight="1" x14ac:dyDescent="0.25">
      <c r="B61" s="613" t="s">
        <v>21</v>
      </c>
      <c r="C61" s="613" t="s">
        <v>22</v>
      </c>
      <c r="D61" s="647" t="s">
        <v>118</v>
      </c>
      <c r="E61" s="623" t="s">
        <v>119</v>
      </c>
    </row>
    <row r="62" spans="2:5" ht="14.85" customHeight="1" thickBot="1" x14ac:dyDescent="0.3">
      <c r="B62" s="615"/>
      <c r="C62" s="615"/>
      <c r="D62" s="648"/>
      <c r="E62" s="649"/>
    </row>
    <row r="63" spans="2:5" ht="14.85" customHeight="1" x14ac:dyDescent="0.25">
      <c r="B63" s="156">
        <f>ÜLDANDMED!G10</f>
        <v>2026</v>
      </c>
      <c r="C63" s="93" t="s">
        <v>120</v>
      </c>
      <c r="D63" s="356"/>
      <c r="E63" s="357"/>
    </row>
    <row r="64" spans="2:5" ht="14.85" customHeight="1" x14ac:dyDescent="0.25">
      <c r="B64" s="94"/>
      <c r="C64" s="85" t="s">
        <v>121</v>
      </c>
      <c r="D64" s="95"/>
      <c r="E64" s="358">
        <f>'KHG_OMA SÕIDUKID M1'!D64*kütus_bensiin_sõiduauto_2026/1000</f>
        <v>0</v>
      </c>
    </row>
    <row r="65" spans="2:5" ht="14.85" customHeight="1" x14ac:dyDescent="0.25">
      <c r="B65" s="94"/>
      <c r="C65" s="85" t="s">
        <v>122</v>
      </c>
      <c r="D65" s="95"/>
      <c r="E65" s="358">
        <f>'KHG_OMA SÕIDUKID M1'!D65*kütus_diisel_sõiduauto_2026/1000</f>
        <v>0</v>
      </c>
    </row>
    <row r="66" spans="2:5" ht="14.85" customHeight="1" x14ac:dyDescent="0.25">
      <c r="B66" s="94"/>
      <c r="C66" s="85" t="s">
        <v>123</v>
      </c>
      <c r="D66" s="95"/>
      <c r="E66" s="358">
        <f>'KHG_OMA SÕIDUKID M1'!D66*kütus_bioCNG_sõiduauto_2026/1000</f>
        <v>0</v>
      </c>
    </row>
    <row r="67" spans="2:5" ht="14.85" customHeight="1" x14ac:dyDescent="0.25">
      <c r="B67" s="94"/>
      <c r="C67" s="85" t="s">
        <v>124</v>
      </c>
      <c r="D67" s="95"/>
      <c r="E67" s="358">
        <f>'KHG_OMA SÕIDUKID M1'!D67*kütus_CNG_sõiduauto_2026/1000</f>
        <v>0</v>
      </c>
    </row>
    <row r="68" spans="2:5" ht="14.85" customHeight="1" x14ac:dyDescent="0.25">
      <c r="B68" s="94"/>
      <c r="C68" s="100" t="s">
        <v>125</v>
      </c>
      <c r="D68" s="95"/>
      <c r="E68" s="358">
        <f>'KHG_OMA SÕIDUKID M1'!D68*kütus_taastuvelekter/1000</f>
        <v>0</v>
      </c>
    </row>
    <row r="69" spans="2:5" ht="14.85" customHeight="1" thickBot="1" x14ac:dyDescent="0.3">
      <c r="B69" s="94"/>
      <c r="C69" s="321" t="s">
        <v>126</v>
      </c>
      <c r="D69" s="95"/>
      <c r="E69" s="358">
        <f>'KHG_OMA SÕIDUKID M1'!D69*segajääk_2026/1000</f>
        <v>0</v>
      </c>
    </row>
    <row r="70" spans="2:5" ht="14.85" customHeight="1" x14ac:dyDescent="0.25">
      <c r="B70" s="94"/>
      <c r="C70" s="93" t="s">
        <v>127</v>
      </c>
      <c r="D70" s="360"/>
      <c r="E70" s="361">
        <f>SUM(E64:E67)</f>
        <v>0</v>
      </c>
    </row>
    <row r="71" spans="2:5" ht="14.85" customHeight="1" thickBot="1" x14ac:dyDescent="0.3">
      <c r="B71" s="111"/>
      <c r="C71" s="280" t="s">
        <v>128</v>
      </c>
      <c r="D71" s="362"/>
      <c r="E71" s="311">
        <f>SUM(E68:E69)</f>
        <v>0</v>
      </c>
    </row>
    <row r="72" spans="2:5" ht="14.85" customHeight="1" x14ac:dyDescent="0.25">
      <c r="B72" s="310"/>
      <c r="C72" s="323"/>
      <c r="D72" s="359"/>
    </row>
    <row r="73" spans="2:5" ht="14.85" customHeight="1" thickBot="1" x14ac:dyDescent="0.3">
      <c r="B73" s="310"/>
      <c r="C73" s="323"/>
      <c r="D73" s="359"/>
    </row>
    <row r="74" spans="2:5" ht="14.85" customHeight="1" x14ac:dyDescent="0.25">
      <c r="B74" s="613" t="s">
        <v>21</v>
      </c>
      <c r="C74" s="613" t="s">
        <v>22</v>
      </c>
      <c r="D74" s="647" t="s">
        <v>118</v>
      </c>
      <c r="E74" s="623" t="s">
        <v>119</v>
      </c>
    </row>
    <row r="75" spans="2:5" ht="14.85" customHeight="1" thickBot="1" x14ac:dyDescent="0.3">
      <c r="B75" s="615"/>
      <c r="C75" s="615"/>
      <c r="D75" s="648"/>
      <c r="E75" s="649"/>
    </row>
    <row r="76" spans="2:5" ht="14.85" customHeight="1" x14ac:dyDescent="0.25">
      <c r="B76" s="156">
        <f>ÜLDANDMED!H10</f>
        <v>2027</v>
      </c>
      <c r="C76" s="93" t="s">
        <v>120</v>
      </c>
      <c r="D76" s="356"/>
      <c r="E76" s="357"/>
    </row>
    <row r="77" spans="2:5" ht="14.85" customHeight="1" x14ac:dyDescent="0.25">
      <c r="B77" s="94"/>
      <c r="C77" s="85" t="s">
        <v>121</v>
      </c>
      <c r="D77" s="95"/>
      <c r="E77" s="358">
        <f>'KHG_OMA SÕIDUKID M1'!D77*kütus_bensiin_sõiduauto_2027/1000</f>
        <v>0</v>
      </c>
    </row>
    <row r="78" spans="2:5" ht="14.85" customHeight="1" x14ac:dyDescent="0.25">
      <c r="B78" s="94"/>
      <c r="C78" s="85" t="s">
        <v>122</v>
      </c>
      <c r="D78" s="95"/>
      <c r="E78" s="358">
        <f>'KHG_OMA SÕIDUKID M1'!D78*kütus_diisel_sõiduauto_2027/1000</f>
        <v>0</v>
      </c>
    </row>
    <row r="79" spans="2:5" ht="14.85" customHeight="1" x14ac:dyDescent="0.25">
      <c r="B79" s="94"/>
      <c r="C79" s="85" t="s">
        <v>123</v>
      </c>
      <c r="D79" s="95"/>
      <c r="E79" s="358">
        <f>'KHG_OMA SÕIDUKID M1'!D79*kütus_bioCNG_sõiduauto_2027/1000</f>
        <v>0</v>
      </c>
    </row>
    <row r="80" spans="2:5" ht="14.85" customHeight="1" x14ac:dyDescent="0.25">
      <c r="B80" s="94"/>
      <c r="C80" s="85" t="s">
        <v>124</v>
      </c>
      <c r="D80" s="95"/>
      <c r="E80" s="358">
        <f>'KHG_OMA SÕIDUKID M1'!D80*kütus_CNG_sõiduauto_2027/1000</f>
        <v>0</v>
      </c>
    </row>
    <row r="81" spans="2:5" ht="14.85" customHeight="1" x14ac:dyDescent="0.25">
      <c r="B81" s="94"/>
      <c r="C81" s="100" t="s">
        <v>125</v>
      </c>
      <c r="D81" s="95"/>
      <c r="E81" s="358">
        <f>'KHG_OMA SÕIDUKID M1'!D81*kütus_taastuvelekter/1000</f>
        <v>0</v>
      </c>
    </row>
    <row r="82" spans="2:5" ht="14.85" customHeight="1" thickBot="1" x14ac:dyDescent="0.3">
      <c r="B82" s="94"/>
      <c r="C82" s="321" t="s">
        <v>126</v>
      </c>
      <c r="D82" s="95"/>
      <c r="E82" s="358">
        <f>'KHG_OMA SÕIDUKID M1'!D82*segajääk_2027/1000</f>
        <v>0</v>
      </c>
    </row>
    <row r="83" spans="2:5" ht="14.85" customHeight="1" x14ac:dyDescent="0.25">
      <c r="B83" s="94"/>
      <c r="C83" s="93" t="s">
        <v>127</v>
      </c>
      <c r="D83" s="360"/>
      <c r="E83" s="361">
        <f>SUM(E77:E80)</f>
        <v>0</v>
      </c>
    </row>
    <row r="84" spans="2:5" ht="14.85" customHeight="1" thickBot="1" x14ac:dyDescent="0.3">
      <c r="B84" s="111"/>
      <c r="C84" s="280" t="s">
        <v>128</v>
      </c>
      <c r="D84" s="362"/>
      <c r="E84" s="311">
        <f>SUM(E81:E82)</f>
        <v>0</v>
      </c>
    </row>
    <row r="85" spans="2:5" ht="14.85" customHeight="1" x14ac:dyDescent="0.25">
      <c r="B85" s="310"/>
      <c r="C85" s="323"/>
      <c r="D85" s="359"/>
    </row>
    <row r="86" spans="2:5" ht="14.85" customHeight="1" thickBot="1" x14ac:dyDescent="0.3">
      <c r="B86" s="310"/>
      <c r="C86" s="323"/>
      <c r="D86" s="359"/>
    </row>
    <row r="87" spans="2:5" ht="14.85" customHeight="1" x14ac:dyDescent="0.25">
      <c r="B87" s="613" t="s">
        <v>21</v>
      </c>
      <c r="C87" s="613" t="s">
        <v>22</v>
      </c>
      <c r="D87" s="647" t="s">
        <v>118</v>
      </c>
      <c r="E87" s="623" t="s">
        <v>119</v>
      </c>
    </row>
    <row r="88" spans="2:5" ht="14.85" customHeight="1" thickBot="1" x14ac:dyDescent="0.3">
      <c r="B88" s="615"/>
      <c r="C88" s="615"/>
      <c r="D88" s="648"/>
      <c r="E88" s="649"/>
    </row>
    <row r="89" spans="2:5" ht="14.85" customHeight="1" x14ac:dyDescent="0.25">
      <c r="B89" s="156">
        <f>ÜLDANDMED!I10</f>
        <v>2028</v>
      </c>
      <c r="C89" s="93" t="s">
        <v>120</v>
      </c>
      <c r="D89" s="356"/>
      <c r="E89" s="357"/>
    </row>
    <row r="90" spans="2:5" ht="14.85" customHeight="1" x14ac:dyDescent="0.25">
      <c r="B90" s="94"/>
      <c r="C90" s="85" t="s">
        <v>121</v>
      </c>
      <c r="D90" s="95"/>
      <c r="E90" s="358">
        <f>'KHG_OMA SÕIDUKID M1'!D90*kütus_bensiin_sõiduauto_2028/1000</f>
        <v>0</v>
      </c>
    </row>
    <row r="91" spans="2:5" ht="14.85" customHeight="1" x14ac:dyDescent="0.25">
      <c r="B91" s="94"/>
      <c r="C91" s="85" t="s">
        <v>122</v>
      </c>
      <c r="D91" s="95"/>
      <c r="E91" s="358">
        <f>'KHG_OMA SÕIDUKID M1'!D91*kütus_diisel_sõiduauto_2028/1000</f>
        <v>0</v>
      </c>
    </row>
    <row r="92" spans="2:5" ht="14.85" customHeight="1" x14ac:dyDescent="0.25">
      <c r="B92" s="94"/>
      <c r="C92" s="85" t="s">
        <v>123</v>
      </c>
      <c r="D92" s="95"/>
      <c r="E92" s="358">
        <f>'KHG_OMA SÕIDUKID M1'!D92*kütus_bioCNG_sõiduauto_2028/1000</f>
        <v>0</v>
      </c>
    </row>
    <row r="93" spans="2:5" ht="14.85" customHeight="1" x14ac:dyDescent="0.25">
      <c r="B93" s="94"/>
      <c r="C93" s="85" t="s">
        <v>124</v>
      </c>
      <c r="D93" s="95"/>
      <c r="E93" s="358">
        <f>'KHG_OMA SÕIDUKID M1'!D93*kütus_CNG_sõiduauto_2028/1000</f>
        <v>0</v>
      </c>
    </row>
    <row r="94" spans="2:5" ht="14.85" customHeight="1" x14ac:dyDescent="0.25">
      <c r="B94" s="94"/>
      <c r="C94" s="100" t="s">
        <v>125</v>
      </c>
      <c r="D94" s="95"/>
      <c r="E94" s="358">
        <f>'KHG_OMA SÕIDUKID M1'!D94*kütus_taastuvelekter/1000</f>
        <v>0</v>
      </c>
    </row>
    <row r="95" spans="2:5" ht="14.85" customHeight="1" thickBot="1" x14ac:dyDescent="0.3">
      <c r="B95" s="94"/>
      <c r="C95" s="321" t="s">
        <v>126</v>
      </c>
      <c r="D95" s="95"/>
      <c r="E95" s="358">
        <f>'KHG_OMA SÕIDUKID M1'!D95*segajääk_2028/1000</f>
        <v>0</v>
      </c>
    </row>
    <row r="96" spans="2:5" ht="14.85" customHeight="1" x14ac:dyDescent="0.25">
      <c r="B96" s="94"/>
      <c r="C96" s="93" t="s">
        <v>127</v>
      </c>
      <c r="D96" s="360"/>
      <c r="E96" s="361">
        <f>SUM(E90:E93)</f>
        <v>0</v>
      </c>
    </row>
    <row r="97" spans="2:5" ht="14.85" customHeight="1" thickBot="1" x14ac:dyDescent="0.3">
      <c r="B97" s="111"/>
      <c r="C97" s="280" t="s">
        <v>128</v>
      </c>
      <c r="D97" s="362"/>
      <c r="E97" s="311">
        <f>SUM(E94:E95)</f>
        <v>0</v>
      </c>
    </row>
    <row r="98" spans="2:5" ht="14.85" customHeight="1" x14ac:dyDescent="0.25">
      <c r="B98" s="310"/>
      <c r="C98" s="323"/>
      <c r="D98" s="359"/>
    </row>
    <row r="99" spans="2:5" ht="14.85" customHeight="1" x14ac:dyDescent="0.25">
      <c r="C99"/>
      <c r="D99"/>
    </row>
    <row r="100" spans="2:5" ht="14.85" customHeight="1" x14ac:dyDescent="0.25">
      <c r="C100"/>
      <c r="D100"/>
    </row>
  </sheetData>
  <mergeCells count="29">
    <mergeCell ref="B74:B75"/>
    <mergeCell ref="C74:C75"/>
    <mergeCell ref="D74:D75"/>
    <mergeCell ref="E74:E75"/>
    <mergeCell ref="B87:B88"/>
    <mergeCell ref="C87:C88"/>
    <mergeCell ref="D87:D88"/>
    <mergeCell ref="E87:E88"/>
    <mergeCell ref="B48:B49"/>
    <mergeCell ref="C48:C49"/>
    <mergeCell ref="D48:D49"/>
    <mergeCell ref="E48:E49"/>
    <mergeCell ref="B61:B62"/>
    <mergeCell ref="C61:C62"/>
    <mergeCell ref="D61:D62"/>
    <mergeCell ref="E61:E62"/>
    <mergeCell ref="B22:B23"/>
    <mergeCell ref="C22:C23"/>
    <mergeCell ref="D22:D23"/>
    <mergeCell ref="E22:E23"/>
    <mergeCell ref="B35:B36"/>
    <mergeCell ref="C35:C36"/>
    <mergeCell ref="D35:D36"/>
    <mergeCell ref="E35:E36"/>
    <mergeCell ref="B9:B10"/>
    <mergeCell ref="C9:C10"/>
    <mergeCell ref="D9:D10"/>
    <mergeCell ref="E9:E10"/>
    <mergeCell ref="B3:E3"/>
  </mergeCells>
  <phoneticPr fontId="43" type="noConversion"/>
  <pageMargins left="0.70866141732283472" right="0.70866141732283472" top="0.74803149606299213" bottom="0.74803149606299213" header="0.31496062992125984" footer="0.31496062992125984"/>
  <pageSetup scale="94" fitToHeight="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2A1C-94DE-4C21-81D0-2D7FDCF63A0F}">
  <sheetPr>
    <tabColor rgb="FFF4B084"/>
    <pageSetUpPr fitToPage="1"/>
  </sheetPr>
  <dimension ref="A1:S140"/>
  <sheetViews>
    <sheetView showGridLines="0" zoomScaleNormal="100" workbookViewId="0">
      <pane xSplit="1" ySplit="1" topLeftCell="B2" activePane="bottomRight" state="frozen"/>
      <selection pane="topRight" activeCell="B1" sqref="B1"/>
      <selection pane="bottomLeft" activeCell="A3" sqref="A3"/>
      <selection pane="bottomRight" activeCell="G7" sqref="G7"/>
    </sheetView>
  </sheetViews>
  <sheetFormatPr defaultRowHeight="14.85" customHeight="1" x14ac:dyDescent="0.25"/>
  <cols>
    <col min="1" max="1" width="2.5703125" customWidth="1"/>
    <col min="2" max="2" width="7.5703125" customWidth="1"/>
    <col min="3" max="3" width="31.42578125" style="3" customWidth="1"/>
    <col min="4" max="4" width="18.5703125" style="81" customWidth="1"/>
    <col min="5" max="5" width="15.5703125" customWidth="1"/>
    <col min="6" max="6" width="15.5703125" style="3" customWidth="1"/>
  </cols>
  <sheetData>
    <row r="1" spans="1:19" ht="18.600000000000001" customHeight="1" x14ac:dyDescent="0.35">
      <c r="B1" s="28" t="s">
        <v>129</v>
      </c>
      <c r="C1" s="97"/>
    </row>
    <row r="2" spans="1:19" ht="14.85" customHeight="1" x14ac:dyDescent="0.3">
      <c r="B2" s="22"/>
      <c r="C2" s="98"/>
    </row>
    <row r="3" spans="1:19" ht="153" customHeight="1" x14ac:dyDescent="0.25">
      <c r="B3" s="656" t="s">
        <v>130</v>
      </c>
      <c r="C3" s="657"/>
      <c r="D3" s="657"/>
      <c r="E3" s="657"/>
      <c r="F3" s="657"/>
      <c r="G3" s="657"/>
      <c r="H3" s="657"/>
      <c r="I3" s="657"/>
      <c r="J3" s="657"/>
      <c r="K3" s="658"/>
    </row>
    <row r="4" spans="1:19" ht="14.85" customHeight="1" x14ac:dyDescent="0.25">
      <c r="B4" s="254"/>
    </row>
    <row r="5" spans="1:19" ht="14.85" customHeight="1" x14ac:dyDescent="0.25">
      <c r="B5" s="60" t="s">
        <v>8</v>
      </c>
      <c r="C5" s="99"/>
    </row>
    <row r="6" spans="1:19" ht="14.85" customHeight="1" x14ac:dyDescent="0.25">
      <c r="A6" s="1"/>
      <c r="C6" s="203" t="s">
        <v>46</v>
      </c>
      <c r="D6" s="30"/>
      <c r="E6" s="30"/>
      <c r="G6" s="3"/>
      <c r="H6" s="3"/>
      <c r="I6" s="3"/>
      <c r="J6" s="3"/>
      <c r="K6" s="3"/>
      <c r="L6" s="3"/>
      <c r="M6" s="3"/>
      <c r="N6" s="3"/>
      <c r="O6" s="3"/>
      <c r="P6" s="55"/>
      <c r="S6" s="66"/>
    </row>
    <row r="7" spans="1:19" ht="14.85" customHeight="1" x14ac:dyDescent="0.25">
      <c r="C7" s="166" t="s">
        <v>9</v>
      </c>
    </row>
    <row r="8" spans="1:19" ht="14.85" customHeight="1" x14ac:dyDescent="0.25">
      <c r="A8" s="1"/>
      <c r="B8" s="3"/>
      <c r="C8" s="163" t="s">
        <v>10</v>
      </c>
      <c r="D8" s="24"/>
      <c r="E8" s="3"/>
      <c r="G8" s="24"/>
      <c r="H8" s="24"/>
      <c r="I8" s="24"/>
      <c r="J8" s="24"/>
      <c r="K8" s="24"/>
      <c r="L8" s="24"/>
      <c r="M8" s="24"/>
      <c r="N8" s="24"/>
      <c r="O8" s="24"/>
      <c r="P8" s="57"/>
      <c r="Q8" s="18"/>
    </row>
    <row r="9" spans="1:19" ht="14.85" customHeight="1" thickBot="1" x14ac:dyDescent="0.3"/>
    <row r="10" spans="1:19" ht="14.85" customHeight="1" x14ac:dyDescent="0.25">
      <c r="B10" s="613" t="s">
        <v>21</v>
      </c>
      <c r="C10" s="613" t="s">
        <v>22</v>
      </c>
      <c r="D10" s="650" t="s">
        <v>131</v>
      </c>
      <c r="E10" s="653" t="s">
        <v>132</v>
      </c>
      <c r="F10" s="623" t="s">
        <v>119</v>
      </c>
    </row>
    <row r="11" spans="1:19" ht="14.85" customHeight="1" x14ac:dyDescent="0.25">
      <c r="B11" s="614"/>
      <c r="C11" s="614"/>
      <c r="D11" s="651"/>
      <c r="E11" s="654"/>
      <c r="F11" s="624"/>
    </row>
    <row r="12" spans="1:19" ht="14.85" customHeight="1" x14ac:dyDescent="0.25">
      <c r="B12" s="614"/>
      <c r="C12" s="614"/>
      <c r="D12" s="651"/>
      <c r="E12" s="654"/>
      <c r="F12" s="624"/>
    </row>
    <row r="13" spans="1:19" ht="14.85" customHeight="1" thickBot="1" x14ac:dyDescent="0.3">
      <c r="B13" s="615"/>
      <c r="C13" s="615"/>
      <c r="D13" s="652"/>
      <c r="E13" s="655"/>
      <c r="F13" s="649"/>
    </row>
    <row r="14" spans="1:19" ht="14.85" customHeight="1" x14ac:dyDescent="0.25">
      <c r="B14" s="156">
        <f>ÜLDANDMED!C10</f>
        <v>2022</v>
      </c>
      <c r="C14" s="277" t="s">
        <v>133</v>
      </c>
      <c r="D14" s="241"/>
      <c r="E14" s="295"/>
      <c r="F14" s="355"/>
    </row>
    <row r="15" spans="1:19" ht="14.85" customHeight="1" x14ac:dyDescent="0.25">
      <c r="B15" s="94"/>
      <c r="C15" s="245"/>
      <c r="D15" s="247"/>
      <c r="E15" s="242" t="e">
        <f>LOOKUP(C15,'KHG eriheitetegurid'!$B$147:$B$157,'KHG eriheitetegurid'!$D$147:$D$157)</f>
        <v>#N/A</v>
      </c>
      <c r="F15" s="256" t="str">
        <f>_xlfn.IFNA(D15*E15/1000,"")</f>
        <v/>
      </c>
      <c r="G15" s="113"/>
    </row>
    <row r="16" spans="1:19" ht="14.85" customHeight="1" x14ac:dyDescent="0.25">
      <c r="B16" s="94"/>
      <c r="C16" s="245"/>
      <c r="D16" s="247"/>
      <c r="E16" s="242" t="e">
        <f>LOOKUP(C16,'KHG eriheitetegurid'!$B$147:$B$157,'KHG eriheitetegurid'!$D$147:$D$157)</f>
        <v>#N/A</v>
      </c>
      <c r="F16" s="256" t="str">
        <f t="shared" ref="F16:F114" si="0">_xlfn.IFNA(D16*E16/1000,"")</f>
        <v/>
      </c>
    </row>
    <row r="17" spans="2:6" ht="14.85" customHeight="1" x14ac:dyDescent="0.25">
      <c r="B17" s="94"/>
      <c r="C17" s="245"/>
      <c r="D17" s="247"/>
      <c r="E17" s="242" t="e">
        <f>LOOKUP(C17,'KHG eriheitetegurid'!$B$147:$B$157,'KHG eriheitetegurid'!$D$147:$D$157)</f>
        <v>#N/A</v>
      </c>
      <c r="F17" s="256" t="str">
        <f t="shared" si="0"/>
        <v/>
      </c>
    </row>
    <row r="18" spans="2:6" ht="14.85" customHeight="1" x14ac:dyDescent="0.25">
      <c r="B18" s="94"/>
      <c r="C18" s="245"/>
      <c r="D18" s="247"/>
      <c r="E18" s="242" t="e">
        <f>LOOKUP(C18,'KHG eriheitetegurid'!$B$147:$B$157,'KHG eriheitetegurid'!$D$147:$D$157)</f>
        <v>#N/A</v>
      </c>
      <c r="F18" s="256" t="str">
        <f t="shared" si="0"/>
        <v/>
      </c>
    </row>
    <row r="19" spans="2:6" ht="14.85" customHeight="1" x14ac:dyDescent="0.25">
      <c r="B19" s="94"/>
      <c r="C19" s="245"/>
      <c r="D19" s="247"/>
      <c r="E19" s="242" t="e">
        <f>LOOKUP(C19,'KHG eriheitetegurid'!$B$147:$B$157,'KHG eriheitetegurid'!$D$147:$D$157)</f>
        <v>#N/A</v>
      </c>
      <c r="F19" s="256" t="str">
        <f t="shared" si="0"/>
        <v/>
      </c>
    </row>
    <row r="20" spans="2:6" ht="14.85" customHeight="1" x14ac:dyDescent="0.25">
      <c r="B20" s="94"/>
      <c r="C20" s="245"/>
      <c r="D20" s="247"/>
      <c r="E20" s="242" t="e">
        <f>LOOKUP(C20,'KHG eriheitetegurid'!$B$147:$B$157,'KHG eriheitetegurid'!$D$147:$D$157)</f>
        <v>#N/A</v>
      </c>
      <c r="F20" s="256" t="str">
        <f t="shared" si="0"/>
        <v/>
      </c>
    </row>
    <row r="21" spans="2:6" ht="14.85" customHeight="1" x14ac:dyDescent="0.25">
      <c r="B21" s="94"/>
      <c r="C21" s="245"/>
      <c r="D21" s="247"/>
      <c r="E21" s="242" t="e">
        <f>LOOKUP(C21,'KHG eriheitetegurid'!$B$147:$B$157,'KHG eriheitetegurid'!$D$147:$D$157)</f>
        <v>#N/A</v>
      </c>
      <c r="F21" s="256" t="str">
        <f t="shared" si="0"/>
        <v/>
      </c>
    </row>
    <row r="22" spans="2:6" ht="14.85" customHeight="1" x14ac:dyDescent="0.25">
      <c r="B22" s="94"/>
      <c r="C22" s="245"/>
      <c r="D22" s="247"/>
      <c r="E22" s="242" t="e">
        <f>LOOKUP(C22,'KHG eriheitetegurid'!$B$147:$B$157,'KHG eriheitetegurid'!$D$147:$D$157)</f>
        <v>#N/A</v>
      </c>
      <c r="F22" s="256" t="str">
        <f t="shared" si="0"/>
        <v/>
      </c>
    </row>
    <row r="23" spans="2:6" ht="14.85" customHeight="1" x14ac:dyDescent="0.25">
      <c r="B23" s="94"/>
      <c r="C23" s="245"/>
      <c r="D23" s="247"/>
      <c r="E23" s="242" t="e">
        <f>LOOKUP(C23,'KHG eriheitetegurid'!$B$147:$B$157,'KHG eriheitetegurid'!$D$147:$D$157)</f>
        <v>#N/A</v>
      </c>
      <c r="F23" s="256" t="str">
        <f t="shared" si="0"/>
        <v/>
      </c>
    </row>
    <row r="24" spans="2:6" ht="14.85" customHeight="1" x14ac:dyDescent="0.25">
      <c r="B24" s="94"/>
      <c r="C24" s="245"/>
      <c r="D24" s="247"/>
      <c r="E24" s="242" t="e">
        <f>LOOKUP(C24,'KHG eriheitetegurid'!$B$147:$B$157,'KHG eriheitetegurid'!$D$147:$D$157)</f>
        <v>#N/A</v>
      </c>
      <c r="F24" s="256" t="str">
        <f t="shared" si="0"/>
        <v/>
      </c>
    </row>
    <row r="25" spans="2:6" ht="14.85" customHeight="1" thickBot="1" x14ac:dyDescent="0.3">
      <c r="B25" s="94"/>
      <c r="C25" s="350"/>
      <c r="D25" s="251"/>
      <c r="E25" s="244" t="e">
        <f>LOOKUP(C25,'KHG eriheitetegurid'!$B$147:$B$157,'KHG eriheitetegurid'!$D$147:$D$157)</f>
        <v>#N/A</v>
      </c>
      <c r="F25" s="351" t="str">
        <f t="shared" si="0"/>
        <v/>
      </c>
    </row>
    <row r="26" spans="2:6" ht="14.85" customHeight="1" thickBot="1" x14ac:dyDescent="0.3">
      <c r="B26" s="111"/>
      <c r="C26" s="325" t="s">
        <v>134</v>
      </c>
      <c r="D26" s="353"/>
      <c r="E26" s="354"/>
      <c r="F26" s="352">
        <f>SUM(F15:F25)</f>
        <v>0</v>
      </c>
    </row>
    <row r="27" spans="2:6" ht="14.85" customHeight="1" x14ac:dyDescent="0.25">
      <c r="C27"/>
      <c r="D27"/>
      <c r="F27"/>
    </row>
    <row r="28" spans="2:6" ht="14.85" customHeight="1" thickBot="1" x14ac:dyDescent="0.3">
      <c r="C28"/>
      <c r="D28"/>
      <c r="F28"/>
    </row>
    <row r="29" spans="2:6" ht="14.85" customHeight="1" x14ac:dyDescent="0.25">
      <c r="B29" s="613" t="s">
        <v>21</v>
      </c>
      <c r="C29" s="613" t="s">
        <v>22</v>
      </c>
      <c r="D29" s="650" t="s">
        <v>131</v>
      </c>
      <c r="E29" s="653" t="s">
        <v>132</v>
      </c>
      <c r="F29" s="623" t="s">
        <v>119</v>
      </c>
    </row>
    <row r="30" spans="2:6" ht="14.85" customHeight="1" x14ac:dyDescent="0.25">
      <c r="B30" s="614"/>
      <c r="C30" s="614"/>
      <c r="D30" s="651"/>
      <c r="E30" s="654"/>
      <c r="F30" s="624"/>
    </row>
    <row r="31" spans="2:6" ht="14.85" customHeight="1" x14ac:dyDescent="0.25">
      <c r="B31" s="614"/>
      <c r="C31" s="614"/>
      <c r="D31" s="651"/>
      <c r="E31" s="654"/>
      <c r="F31" s="624"/>
    </row>
    <row r="32" spans="2:6" ht="14.85" customHeight="1" thickBot="1" x14ac:dyDescent="0.3">
      <c r="B32" s="615"/>
      <c r="C32" s="615"/>
      <c r="D32" s="652"/>
      <c r="E32" s="655"/>
      <c r="F32" s="649"/>
    </row>
    <row r="33" spans="2:6" ht="14.85" customHeight="1" x14ac:dyDescent="0.25">
      <c r="B33" s="156">
        <f>ÜLDANDMED!D10</f>
        <v>2023</v>
      </c>
      <c r="C33" s="93" t="s">
        <v>133</v>
      </c>
      <c r="D33" s="241"/>
      <c r="E33" s="295"/>
      <c r="F33" s="355"/>
    </row>
    <row r="34" spans="2:6" ht="14.85" customHeight="1" x14ac:dyDescent="0.25">
      <c r="B34" s="94"/>
      <c r="C34" s="245"/>
      <c r="D34" s="247"/>
      <c r="E34" s="242" t="e">
        <f>LOOKUP(C34,'KHG eriheitetegurid'!$B$147:$B$157,'KHG eriheitetegurid'!$D$147:$D$157)</f>
        <v>#N/A</v>
      </c>
      <c r="F34" s="256" t="str">
        <f t="shared" si="0"/>
        <v/>
      </c>
    </row>
    <row r="35" spans="2:6" ht="14.85" customHeight="1" x14ac:dyDescent="0.25">
      <c r="B35" s="94"/>
      <c r="C35" s="245"/>
      <c r="D35" s="247"/>
      <c r="E35" s="242" t="e">
        <f>LOOKUP(C35,'KHG eriheitetegurid'!$B$147:$B$157,'KHG eriheitetegurid'!$D$147:$D$157)</f>
        <v>#N/A</v>
      </c>
      <c r="F35" s="256" t="str">
        <f t="shared" si="0"/>
        <v/>
      </c>
    </row>
    <row r="36" spans="2:6" ht="14.85" customHeight="1" x14ac:dyDescent="0.25">
      <c r="B36" s="94"/>
      <c r="C36" s="245"/>
      <c r="D36" s="247"/>
      <c r="E36" s="242" t="e">
        <f>LOOKUP(C36,'KHG eriheitetegurid'!$B$147:$B$157,'KHG eriheitetegurid'!$D$147:$D$157)</f>
        <v>#N/A</v>
      </c>
      <c r="F36" s="256" t="str">
        <f t="shared" si="0"/>
        <v/>
      </c>
    </row>
    <row r="37" spans="2:6" ht="14.85" customHeight="1" x14ac:dyDescent="0.25">
      <c r="B37" s="94"/>
      <c r="C37" s="245"/>
      <c r="D37" s="247"/>
      <c r="E37" s="242" t="e">
        <f>LOOKUP(C37,'KHG eriheitetegurid'!$B$147:$B$157,'KHG eriheitetegurid'!$D$147:$D$157)</f>
        <v>#N/A</v>
      </c>
      <c r="F37" s="256" t="str">
        <f t="shared" si="0"/>
        <v/>
      </c>
    </row>
    <row r="38" spans="2:6" ht="14.85" customHeight="1" x14ac:dyDescent="0.25">
      <c r="B38" s="94"/>
      <c r="C38" s="245"/>
      <c r="D38" s="247"/>
      <c r="E38" s="242" t="e">
        <f>LOOKUP(C38,'KHG eriheitetegurid'!$B$147:$B$157,'KHG eriheitetegurid'!$D$147:$D$157)</f>
        <v>#N/A</v>
      </c>
      <c r="F38" s="256" t="str">
        <f t="shared" si="0"/>
        <v/>
      </c>
    </row>
    <row r="39" spans="2:6" ht="14.85" customHeight="1" x14ac:dyDescent="0.25">
      <c r="B39" s="94"/>
      <c r="C39" s="245"/>
      <c r="D39" s="247"/>
      <c r="E39" s="242" t="e">
        <f>LOOKUP(C39,'KHG eriheitetegurid'!$B$147:$B$157,'KHG eriheitetegurid'!$D$147:$D$157)</f>
        <v>#N/A</v>
      </c>
      <c r="F39" s="256" t="str">
        <f t="shared" si="0"/>
        <v/>
      </c>
    </row>
    <row r="40" spans="2:6" ht="14.85" customHeight="1" x14ac:dyDescent="0.25">
      <c r="B40" s="94"/>
      <c r="C40" s="245"/>
      <c r="D40" s="247"/>
      <c r="E40" s="242" t="e">
        <f>LOOKUP(C40,'KHG eriheitetegurid'!$B$147:$B$157,'KHG eriheitetegurid'!$D$147:$D$157)</f>
        <v>#N/A</v>
      </c>
      <c r="F40" s="256" t="str">
        <f t="shared" si="0"/>
        <v/>
      </c>
    </row>
    <row r="41" spans="2:6" ht="14.85" customHeight="1" x14ac:dyDescent="0.25">
      <c r="B41" s="94"/>
      <c r="C41" s="245"/>
      <c r="D41" s="247"/>
      <c r="E41" s="242" t="e">
        <f>LOOKUP(C41,'KHG eriheitetegurid'!$B$147:$B$157,'KHG eriheitetegurid'!$D$147:$D$157)</f>
        <v>#N/A</v>
      </c>
      <c r="F41" s="256" t="str">
        <f t="shared" si="0"/>
        <v/>
      </c>
    </row>
    <row r="42" spans="2:6" ht="14.85" customHeight="1" x14ac:dyDescent="0.25">
      <c r="B42" s="94"/>
      <c r="C42" s="245"/>
      <c r="D42" s="247"/>
      <c r="E42" s="242" t="e">
        <f>LOOKUP(C42,'KHG eriheitetegurid'!$B$147:$B$157,'KHG eriheitetegurid'!$D$147:$D$157)</f>
        <v>#N/A</v>
      </c>
      <c r="F42" s="256" t="str">
        <f t="shared" si="0"/>
        <v/>
      </c>
    </row>
    <row r="43" spans="2:6" ht="14.85" customHeight="1" x14ac:dyDescent="0.25">
      <c r="B43" s="94"/>
      <c r="C43" s="245"/>
      <c r="D43" s="247"/>
      <c r="E43" s="242" t="e">
        <f>LOOKUP(C43,'KHG eriheitetegurid'!$B$147:$B$157,'KHG eriheitetegurid'!$D$147:$D$157)</f>
        <v>#N/A</v>
      </c>
      <c r="F43" s="256" t="str">
        <f t="shared" si="0"/>
        <v/>
      </c>
    </row>
    <row r="44" spans="2:6" ht="14.85" customHeight="1" thickBot="1" x14ac:dyDescent="0.3">
      <c r="B44" s="111"/>
      <c r="C44" s="246"/>
      <c r="D44" s="247"/>
      <c r="E44" s="244" t="e">
        <f>LOOKUP(C44,'KHG eriheitetegurid'!$B$147:$B$157,'KHG eriheitetegurid'!$D$147:$D$157)</f>
        <v>#N/A</v>
      </c>
      <c r="F44" s="256" t="str">
        <f t="shared" si="0"/>
        <v/>
      </c>
    </row>
    <row r="45" spans="2:6" ht="14.85" customHeight="1" thickBot="1" x14ac:dyDescent="0.3">
      <c r="B45" s="111"/>
      <c r="C45" s="325" t="s">
        <v>134</v>
      </c>
      <c r="D45" s="353"/>
      <c r="E45" s="354"/>
      <c r="F45" s="352">
        <f>SUM(F34:F44)</f>
        <v>0</v>
      </c>
    </row>
    <row r="46" spans="2:6" ht="14.85" customHeight="1" x14ac:dyDescent="0.25">
      <c r="C46"/>
      <c r="D46"/>
      <c r="F46"/>
    </row>
    <row r="47" spans="2:6" ht="14.85" customHeight="1" thickBot="1" x14ac:dyDescent="0.3">
      <c r="C47"/>
      <c r="D47"/>
      <c r="F47"/>
    </row>
    <row r="48" spans="2:6" ht="14.85" customHeight="1" x14ac:dyDescent="0.25">
      <c r="B48" s="613" t="s">
        <v>21</v>
      </c>
      <c r="C48" s="613" t="s">
        <v>22</v>
      </c>
      <c r="D48" s="650" t="s">
        <v>131</v>
      </c>
      <c r="E48" s="653" t="s">
        <v>132</v>
      </c>
      <c r="F48" s="623" t="s">
        <v>119</v>
      </c>
    </row>
    <row r="49" spans="2:6" ht="14.85" customHeight="1" x14ac:dyDescent="0.25">
      <c r="B49" s="614"/>
      <c r="C49" s="614"/>
      <c r="D49" s="651"/>
      <c r="E49" s="654"/>
      <c r="F49" s="624"/>
    </row>
    <row r="50" spans="2:6" ht="14.85" customHeight="1" x14ac:dyDescent="0.25">
      <c r="B50" s="614"/>
      <c r="C50" s="614"/>
      <c r="D50" s="651"/>
      <c r="E50" s="654"/>
      <c r="F50" s="624"/>
    </row>
    <row r="51" spans="2:6" ht="14.85" customHeight="1" thickBot="1" x14ac:dyDescent="0.3">
      <c r="B51" s="615"/>
      <c r="C51" s="615"/>
      <c r="D51" s="652"/>
      <c r="E51" s="655"/>
      <c r="F51" s="649"/>
    </row>
    <row r="52" spans="2:6" ht="14.85" customHeight="1" x14ac:dyDescent="0.25">
      <c r="B52" s="108">
        <f>ÜLDANDMED!E10</f>
        <v>2024</v>
      </c>
      <c r="C52" s="93" t="s">
        <v>133</v>
      </c>
      <c r="D52" s="241"/>
      <c r="E52" s="295"/>
      <c r="F52" s="355"/>
    </row>
    <row r="53" spans="2:6" ht="14.85" customHeight="1" x14ac:dyDescent="0.25">
      <c r="B53" s="94"/>
      <c r="C53" s="245"/>
      <c r="D53" s="247"/>
      <c r="E53" s="242" t="e">
        <f>LOOKUP(C53,'KHG eriheitetegurid'!$B$147:$B$157,'KHG eriheitetegurid'!$D$147:$D$157)</f>
        <v>#N/A</v>
      </c>
      <c r="F53" s="256" t="str">
        <f t="shared" si="0"/>
        <v/>
      </c>
    </row>
    <row r="54" spans="2:6" ht="14.85" customHeight="1" x14ac:dyDescent="0.25">
      <c r="B54" s="94"/>
      <c r="C54" s="245"/>
      <c r="D54" s="247"/>
      <c r="E54" s="242" t="e">
        <f>LOOKUP(C54,'KHG eriheitetegurid'!$B$147:$B$157,'KHG eriheitetegurid'!$D$147:$D$157)</f>
        <v>#N/A</v>
      </c>
      <c r="F54" s="256" t="str">
        <f t="shared" si="0"/>
        <v/>
      </c>
    </row>
    <row r="55" spans="2:6" ht="14.85" customHeight="1" x14ac:dyDescent="0.25">
      <c r="B55" s="94"/>
      <c r="C55" s="245"/>
      <c r="D55" s="247"/>
      <c r="E55" s="242" t="e">
        <f>LOOKUP(C55,'KHG eriheitetegurid'!$B$147:$B$157,'KHG eriheitetegurid'!$D$147:$D$157)</f>
        <v>#N/A</v>
      </c>
      <c r="F55" s="256" t="str">
        <f t="shared" si="0"/>
        <v/>
      </c>
    </row>
    <row r="56" spans="2:6" ht="14.85" customHeight="1" x14ac:dyDescent="0.25">
      <c r="B56" s="94"/>
      <c r="C56" s="245"/>
      <c r="D56" s="247"/>
      <c r="E56" s="242" t="e">
        <f>LOOKUP(C56,'KHG eriheitetegurid'!$B$147:$B$157,'KHG eriheitetegurid'!$D$147:$D$157)</f>
        <v>#N/A</v>
      </c>
      <c r="F56" s="256" t="str">
        <f t="shared" si="0"/>
        <v/>
      </c>
    </row>
    <row r="57" spans="2:6" ht="14.85" customHeight="1" x14ac:dyDescent="0.25">
      <c r="B57" s="94"/>
      <c r="C57" s="245"/>
      <c r="D57" s="247"/>
      <c r="E57" s="242" t="e">
        <f>LOOKUP(C57,'KHG eriheitetegurid'!$B$147:$B$157,'KHG eriheitetegurid'!$D$147:$D$157)</f>
        <v>#N/A</v>
      </c>
      <c r="F57" s="256" t="str">
        <f t="shared" si="0"/>
        <v/>
      </c>
    </row>
    <row r="58" spans="2:6" ht="14.85" customHeight="1" x14ac:dyDescent="0.25">
      <c r="B58" s="94"/>
      <c r="C58" s="245"/>
      <c r="D58" s="247"/>
      <c r="E58" s="242" t="e">
        <f>LOOKUP(C58,'KHG eriheitetegurid'!$B$147:$B$157,'KHG eriheitetegurid'!$D$147:$D$157)</f>
        <v>#N/A</v>
      </c>
      <c r="F58" s="256" t="str">
        <f t="shared" si="0"/>
        <v/>
      </c>
    </row>
    <row r="59" spans="2:6" ht="14.85" customHeight="1" x14ac:dyDescent="0.25">
      <c r="B59" s="94"/>
      <c r="C59" s="245"/>
      <c r="D59" s="247"/>
      <c r="E59" s="242" t="e">
        <f>LOOKUP(C59,'KHG eriheitetegurid'!$B$147:$B$157,'KHG eriheitetegurid'!$D$147:$D$157)</f>
        <v>#N/A</v>
      </c>
      <c r="F59" s="256" t="str">
        <f t="shared" si="0"/>
        <v/>
      </c>
    </row>
    <row r="60" spans="2:6" ht="14.85" customHeight="1" x14ac:dyDescent="0.25">
      <c r="B60" s="94"/>
      <c r="C60" s="245"/>
      <c r="D60" s="247"/>
      <c r="E60" s="242" t="e">
        <f>LOOKUP(C60,'KHG eriheitetegurid'!$B$147:$B$157,'KHG eriheitetegurid'!$D$147:$D$157)</f>
        <v>#N/A</v>
      </c>
      <c r="F60" s="256" t="str">
        <f t="shared" si="0"/>
        <v/>
      </c>
    </row>
    <row r="61" spans="2:6" ht="14.85" customHeight="1" x14ac:dyDescent="0.25">
      <c r="B61" s="94"/>
      <c r="C61" s="245"/>
      <c r="D61" s="247"/>
      <c r="E61" s="242" t="e">
        <f>LOOKUP(C61,'KHG eriheitetegurid'!$B$147:$B$157,'KHG eriheitetegurid'!$D$147:$D$157)</f>
        <v>#N/A</v>
      </c>
      <c r="F61" s="256" t="str">
        <f t="shared" si="0"/>
        <v/>
      </c>
    </row>
    <row r="62" spans="2:6" ht="14.85" customHeight="1" x14ac:dyDescent="0.25">
      <c r="B62" s="94"/>
      <c r="C62" s="245"/>
      <c r="D62" s="247"/>
      <c r="E62" s="242" t="e">
        <f>LOOKUP(C62,'KHG eriheitetegurid'!$B$147:$B$157,'KHG eriheitetegurid'!$D$147:$D$157)</f>
        <v>#N/A</v>
      </c>
      <c r="F62" s="256" t="str">
        <f t="shared" si="0"/>
        <v/>
      </c>
    </row>
    <row r="63" spans="2:6" ht="14.85" customHeight="1" thickBot="1" x14ac:dyDescent="0.3">
      <c r="B63" s="111"/>
      <c r="C63" s="246"/>
      <c r="D63" s="247"/>
      <c r="E63" s="242" t="e">
        <f>LOOKUP(C63,'KHG eriheitetegurid'!$B$147:$B$157,'KHG eriheitetegurid'!$D$147:$D$157)</f>
        <v>#N/A</v>
      </c>
      <c r="F63" s="256" t="str">
        <f t="shared" si="0"/>
        <v/>
      </c>
    </row>
    <row r="64" spans="2:6" ht="14.85" customHeight="1" thickBot="1" x14ac:dyDescent="0.3">
      <c r="B64" s="111"/>
      <c r="C64" s="325" t="s">
        <v>134</v>
      </c>
      <c r="D64" s="353"/>
      <c r="E64" s="354"/>
      <c r="F64" s="352">
        <f>SUM(F53:F63)</f>
        <v>0</v>
      </c>
    </row>
    <row r="65" spans="2:6" ht="14.85" customHeight="1" x14ac:dyDescent="0.25">
      <c r="C65"/>
      <c r="D65"/>
      <c r="F65"/>
    </row>
    <row r="66" spans="2:6" ht="14.85" customHeight="1" thickBot="1" x14ac:dyDescent="0.3">
      <c r="C66"/>
      <c r="D66"/>
      <c r="F66"/>
    </row>
    <row r="67" spans="2:6" ht="14.85" customHeight="1" x14ac:dyDescent="0.25">
      <c r="B67" s="613" t="s">
        <v>21</v>
      </c>
      <c r="C67" s="613" t="s">
        <v>22</v>
      </c>
      <c r="D67" s="650" t="s">
        <v>131</v>
      </c>
      <c r="E67" s="653" t="s">
        <v>132</v>
      </c>
      <c r="F67" s="623" t="s">
        <v>119</v>
      </c>
    </row>
    <row r="68" spans="2:6" ht="14.85" customHeight="1" x14ac:dyDescent="0.25">
      <c r="B68" s="614"/>
      <c r="C68" s="614"/>
      <c r="D68" s="651"/>
      <c r="E68" s="654"/>
      <c r="F68" s="624"/>
    </row>
    <row r="69" spans="2:6" ht="14.85" customHeight="1" x14ac:dyDescent="0.25">
      <c r="B69" s="614"/>
      <c r="C69" s="614"/>
      <c r="D69" s="651"/>
      <c r="E69" s="654"/>
      <c r="F69" s="624"/>
    </row>
    <row r="70" spans="2:6" ht="14.85" customHeight="1" thickBot="1" x14ac:dyDescent="0.3">
      <c r="B70" s="615"/>
      <c r="C70" s="615"/>
      <c r="D70" s="652"/>
      <c r="E70" s="655"/>
      <c r="F70" s="649"/>
    </row>
    <row r="71" spans="2:6" ht="14.85" customHeight="1" x14ac:dyDescent="0.25">
      <c r="B71" s="156">
        <f>ÜLDANDMED!F10</f>
        <v>2025</v>
      </c>
      <c r="C71" s="93" t="s">
        <v>133</v>
      </c>
      <c r="D71" s="241"/>
      <c r="E71" s="295"/>
      <c r="F71" s="355"/>
    </row>
    <row r="72" spans="2:6" ht="14.85" customHeight="1" x14ac:dyDescent="0.25">
      <c r="B72" s="94"/>
      <c r="C72" s="245"/>
      <c r="D72" s="247"/>
      <c r="E72" s="242" t="e">
        <f>LOOKUP(C72,'KHG eriheitetegurid'!$B$147:$B$157,'KHG eriheitetegurid'!$D$147:$D$157)</f>
        <v>#N/A</v>
      </c>
      <c r="F72" s="256" t="str">
        <f t="shared" si="0"/>
        <v/>
      </c>
    </row>
    <row r="73" spans="2:6" ht="14.85" customHeight="1" x14ac:dyDescent="0.25">
      <c r="B73" s="94"/>
      <c r="C73" s="245"/>
      <c r="D73" s="247"/>
      <c r="E73" s="242" t="e">
        <f>LOOKUP(C73,'KHG eriheitetegurid'!$B$147:$B$157,'KHG eriheitetegurid'!$D$147:$D$157)</f>
        <v>#N/A</v>
      </c>
      <c r="F73" s="256" t="str">
        <f t="shared" si="0"/>
        <v/>
      </c>
    </row>
    <row r="74" spans="2:6" ht="14.85" customHeight="1" x14ac:dyDescent="0.25">
      <c r="B74" s="94"/>
      <c r="C74" s="245"/>
      <c r="D74" s="247"/>
      <c r="E74" s="242" t="e">
        <f>LOOKUP(C74,'KHG eriheitetegurid'!$B$147:$B$157,'KHG eriheitetegurid'!$D$147:$D$157)</f>
        <v>#N/A</v>
      </c>
      <c r="F74" s="256" t="str">
        <f t="shared" si="0"/>
        <v/>
      </c>
    </row>
    <row r="75" spans="2:6" ht="14.85" customHeight="1" x14ac:dyDescent="0.25">
      <c r="B75" s="94"/>
      <c r="C75" s="245"/>
      <c r="D75" s="247"/>
      <c r="E75" s="242" t="e">
        <f>LOOKUP(C75,'KHG eriheitetegurid'!$B$147:$B$157,'KHG eriheitetegurid'!$D$147:$D$157)</f>
        <v>#N/A</v>
      </c>
      <c r="F75" s="256" t="str">
        <f t="shared" si="0"/>
        <v/>
      </c>
    </row>
    <row r="76" spans="2:6" ht="14.85" customHeight="1" x14ac:dyDescent="0.25">
      <c r="B76" s="94"/>
      <c r="C76" s="245"/>
      <c r="D76" s="247"/>
      <c r="E76" s="242" t="e">
        <f>LOOKUP(C76,'KHG eriheitetegurid'!$B$147:$B$157,'KHG eriheitetegurid'!$D$147:$D$157)</f>
        <v>#N/A</v>
      </c>
      <c r="F76" s="256" t="str">
        <f t="shared" si="0"/>
        <v/>
      </c>
    </row>
    <row r="77" spans="2:6" ht="14.85" customHeight="1" x14ac:dyDescent="0.25">
      <c r="B77" s="94"/>
      <c r="C77" s="245"/>
      <c r="D77" s="247"/>
      <c r="E77" s="242" t="e">
        <f>LOOKUP(C77,'KHG eriheitetegurid'!$B$147:$B$157,'KHG eriheitetegurid'!$D$147:$D$157)</f>
        <v>#N/A</v>
      </c>
      <c r="F77" s="256" t="str">
        <f t="shared" si="0"/>
        <v/>
      </c>
    </row>
    <row r="78" spans="2:6" ht="14.85" customHeight="1" x14ac:dyDescent="0.25">
      <c r="B78" s="94"/>
      <c r="C78" s="245"/>
      <c r="D78" s="247"/>
      <c r="E78" s="242" t="e">
        <f>LOOKUP(C78,'KHG eriheitetegurid'!$B$147:$B$157,'KHG eriheitetegurid'!$D$147:$D$157)</f>
        <v>#N/A</v>
      </c>
      <c r="F78" s="256" t="str">
        <f t="shared" si="0"/>
        <v/>
      </c>
    </row>
    <row r="79" spans="2:6" ht="14.85" customHeight="1" x14ac:dyDescent="0.25">
      <c r="B79" s="94"/>
      <c r="C79" s="245"/>
      <c r="D79" s="247"/>
      <c r="E79" s="242" t="e">
        <f>LOOKUP(C79,'KHG eriheitetegurid'!$B$147:$B$157,'KHG eriheitetegurid'!$D$147:$D$157)</f>
        <v>#N/A</v>
      </c>
      <c r="F79" s="256" t="str">
        <f t="shared" si="0"/>
        <v/>
      </c>
    </row>
    <row r="80" spans="2:6" ht="14.85" customHeight="1" x14ac:dyDescent="0.25">
      <c r="B80" s="94"/>
      <c r="C80" s="245"/>
      <c r="D80" s="247"/>
      <c r="E80" s="242" t="e">
        <f>LOOKUP(C80,'KHG eriheitetegurid'!$B$147:$B$157,'KHG eriheitetegurid'!$D$147:$D$157)</f>
        <v>#N/A</v>
      </c>
      <c r="F80" s="256" t="str">
        <f t="shared" si="0"/>
        <v/>
      </c>
    </row>
    <row r="81" spans="2:6" ht="14.85" customHeight="1" x14ac:dyDescent="0.25">
      <c r="B81" s="94"/>
      <c r="C81" s="245"/>
      <c r="D81" s="247"/>
      <c r="E81" s="242" t="e">
        <f>LOOKUP(C81,'KHG eriheitetegurid'!$B$147:$B$157,'KHG eriheitetegurid'!$D$147:$D$157)</f>
        <v>#N/A</v>
      </c>
      <c r="F81" s="256" t="str">
        <f t="shared" si="0"/>
        <v/>
      </c>
    </row>
    <row r="82" spans="2:6" ht="14.85" customHeight="1" thickBot="1" x14ac:dyDescent="0.3">
      <c r="B82" s="111"/>
      <c r="C82" s="246"/>
      <c r="D82" s="251"/>
      <c r="E82" s="244" t="e">
        <f>LOOKUP(C82,'KHG eriheitetegurid'!$B$147:$B$157,'KHG eriheitetegurid'!$D$147:$D$157)</f>
        <v>#N/A</v>
      </c>
      <c r="F82" s="256" t="str">
        <f t="shared" si="0"/>
        <v/>
      </c>
    </row>
    <row r="83" spans="2:6" ht="14.85" customHeight="1" thickBot="1" x14ac:dyDescent="0.3">
      <c r="B83" s="111"/>
      <c r="C83" s="325" t="s">
        <v>134</v>
      </c>
      <c r="D83" s="353"/>
      <c r="E83" s="354"/>
      <c r="F83" s="352">
        <f>SUM(F72:F82)</f>
        <v>0</v>
      </c>
    </row>
    <row r="84" spans="2:6" ht="14.85" customHeight="1" x14ac:dyDescent="0.25">
      <c r="C84"/>
      <c r="D84"/>
      <c r="F84"/>
    </row>
    <row r="85" spans="2:6" ht="14.85" customHeight="1" thickBot="1" x14ac:dyDescent="0.3">
      <c r="C85"/>
      <c r="D85"/>
      <c r="F85"/>
    </row>
    <row r="86" spans="2:6" ht="14.85" customHeight="1" x14ac:dyDescent="0.25">
      <c r="B86" s="613" t="s">
        <v>21</v>
      </c>
      <c r="C86" s="613" t="s">
        <v>22</v>
      </c>
      <c r="D86" s="650" t="s">
        <v>131</v>
      </c>
      <c r="E86" s="653" t="s">
        <v>132</v>
      </c>
      <c r="F86" s="623" t="s">
        <v>119</v>
      </c>
    </row>
    <row r="87" spans="2:6" ht="14.85" customHeight="1" x14ac:dyDescent="0.25">
      <c r="B87" s="614"/>
      <c r="C87" s="614"/>
      <c r="D87" s="651"/>
      <c r="E87" s="654"/>
      <c r="F87" s="624"/>
    </row>
    <row r="88" spans="2:6" ht="14.85" customHeight="1" x14ac:dyDescent="0.25">
      <c r="B88" s="614"/>
      <c r="C88" s="614"/>
      <c r="D88" s="651"/>
      <c r="E88" s="654"/>
      <c r="F88" s="624"/>
    </row>
    <row r="89" spans="2:6" ht="14.85" customHeight="1" thickBot="1" x14ac:dyDescent="0.3">
      <c r="B89" s="615"/>
      <c r="C89" s="615"/>
      <c r="D89" s="652"/>
      <c r="E89" s="655"/>
      <c r="F89" s="649"/>
    </row>
    <row r="90" spans="2:6" ht="14.85" customHeight="1" x14ac:dyDescent="0.25">
      <c r="B90" s="108">
        <f>ÜLDANDMED!G10</f>
        <v>2026</v>
      </c>
      <c r="C90" s="93" t="s">
        <v>133</v>
      </c>
      <c r="D90" s="241"/>
      <c r="E90" s="295"/>
      <c r="F90" s="355"/>
    </row>
    <row r="91" spans="2:6" ht="14.85" customHeight="1" x14ac:dyDescent="0.25">
      <c r="B91" s="94"/>
      <c r="C91" s="245"/>
      <c r="D91" s="247"/>
      <c r="E91" s="242" t="e">
        <f>LOOKUP(C91,'KHG eriheitetegurid'!$B$147:$B$157,'KHG eriheitetegurid'!$D$147:$D$157)</f>
        <v>#N/A</v>
      </c>
      <c r="F91" s="256" t="str">
        <f t="shared" si="0"/>
        <v/>
      </c>
    </row>
    <row r="92" spans="2:6" ht="14.85" customHeight="1" x14ac:dyDescent="0.25">
      <c r="B92" s="94"/>
      <c r="C92" s="245"/>
      <c r="D92" s="247"/>
      <c r="E92" s="242" t="e">
        <f>LOOKUP(C92,'KHG eriheitetegurid'!$B$147:$B$157,'KHG eriheitetegurid'!$D$147:$D$157)</f>
        <v>#N/A</v>
      </c>
      <c r="F92" s="256" t="str">
        <f t="shared" si="0"/>
        <v/>
      </c>
    </row>
    <row r="93" spans="2:6" ht="14.85" customHeight="1" x14ac:dyDescent="0.25">
      <c r="B93" s="94"/>
      <c r="C93" s="245"/>
      <c r="D93" s="247"/>
      <c r="E93" s="242" t="e">
        <f>LOOKUP(C93,'KHG eriheitetegurid'!$B$147:$B$157,'KHG eriheitetegurid'!$D$147:$D$157)</f>
        <v>#N/A</v>
      </c>
      <c r="F93" s="256" t="str">
        <f t="shared" si="0"/>
        <v/>
      </c>
    </row>
    <row r="94" spans="2:6" ht="14.85" customHeight="1" x14ac:dyDescent="0.25">
      <c r="B94" s="94"/>
      <c r="C94" s="245"/>
      <c r="D94" s="247"/>
      <c r="E94" s="242" t="e">
        <f>LOOKUP(C94,'KHG eriheitetegurid'!$B$147:$B$157,'KHG eriheitetegurid'!$D$147:$D$157)</f>
        <v>#N/A</v>
      </c>
      <c r="F94" s="256" t="str">
        <f t="shared" si="0"/>
        <v/>
      </c>
    </row>
    <row r="95" spans="2:6" ht="14.85" customHeight="1" x14ac:dyDescent="0.25">
      <c r="B95" s="94"/>
      <c r="C95" s="245"/>
      <c r="D95" s="247"/>
      <c r="E95" s="242" t="e">
        <f>LOOKUP(C95,'KHG eriheitetegurid'!$B$147:$B$157,'KHG eriheitetegurid'!$D$147:$D$157)</f>
        <v>#N/A</v>
      </c>
      <c r="F95" s="256" t="str">
        <f t="shared" si="0"/>
        <v/>
      </c>
    </row>
    <row r="96" spans="2:6" ht="14.85" customHeight="1" x14ac:dyDescent="0.25">
      <c r="B96" s="94"/>
      <c r="C96" s="245"/>
      <c r="D96" s="247"/>
      <c r="E96" s="242" t="e">
        <f>LOOKUP(C96,'KHG eriheitetegurid'!$B$147:$B$157,'KHG eriheitetegurid'!$D$147:$D$157)</f>
        <v>#N/A</v>
      </c>
      <c r="F96" s="256" t="str">
        <f t="shared" si="0"/>
        <v/>
      </c>
    </row>
    <row r="97" spans="2:6" ht="14.85" customHeight="1" x14ac:dyDescent="0.25">
      <c r="B97" s="94"/>
      <c r="C97" s="245"/>
      <c r="D97" s="247"/>
      <c r="E97" s="242" t="e">
        <f>LOOKUP(C97,'KHG eriheitetegurid'!$B$147:$B$157,'KHG eriheitetegurid'!$D$147:$D$157)</f>
        <v>#N/A</v>
      </c>
      <c r="F97" s="256" t="str">
        <f t="shared" si="0"/>
        <v/>
      </c>
    </row>
    <row r="98" spans="2:6" ht="14.85" customHeight="1" x14ac:dyDescent="0.25">
      <c r="B98" s="94"/>
      <c r="C98" s="245"/>
      <c r="D98" s="247"/>
      <c r="E98" s="242" t="e">
        <f>LOOKUP(C98,'KHG eriheitetegurid'!$B$147:$B$157,'KHG eriheitetegurid'!$D$147:$D$157)</f>
        <v>#N/A</v>
      </c>
      <c r="F98" s="256" t="str">
        <f t="shared" si="0"/>
        <v/>
      </c>
    </row>
    <row r="99" spans="2:6" ht="14.85" customHeight="1" x14ac:dyDescent="0.25">
      <c r="B99" s="94"/>
      <c r="C99" s="245"/>
      <c r="D99" s="247"/>
      <c r="E99" s="242" t="e">
        <f>LOOKUP(C99,'KHG eriheitetegurid'!$B$147:$B$157,'KHG eriheitetegurid'!$D$147:$D$157)</f>
        <v>#N/A</v>
      </c>
      <c r="F99" s="256" t="str">
        <f t="shared" si="0"/>
        <v/>
      </c>
    </row>
    <row r="100" spans="2:6" ht="14.85" customHeight="1" x14ac:dyDescent="0.25">
      <c r="B100" s="94"/>
      <c r="C100" s="245"/>
      <c r="D100" s="247"/>
      <c r="E100" s="242" t="e">
        <f>LOOKUP(C100,'KHG eriheitetegurid'!$B$147:$B$157,'KHG eriheitetegurid'!$D$147:$D$157)</f>
        <v>#N/A</v>
      </c>
      <c r="F100" s="256" t="str">
        <f t="shared" si="0"/>
        <v/>
      </c>
    </row>
    <row r="101" spans="2:6" ht="14.85" customHeight="1" thickBot="1" x14ac:dyDescent="0.3">
      <c r="B101" s="111"/>
      <c r="C101" s="246"/>
      <c r="D101" s="247"/>
      <c r="E101" s="242" t="e">
        <f>LOOKUP(C101,'KHG eriheitetegurid'!$B$147:$B$157,'KHG eriheitetegurid'!$D$147:$D$157)</f>
        <v>#N/A</v>
      </c>
      <c r="F101" s="256" t="str">
        <f t="shared" si="0"/>
        <v/>
      </c>
    </row>
    <row r="102" spans="2:6" ht="14.85" customHeight="1" thickBot="1" x14ac:dyDescent="0.3">
      <c r="B102" s="111"/>
      <c r="C102" s="325" t="s">
        <v>134</v>
      </c>
      <c r="D102" s="353"/>
      <c r="E102" s="354"/>
      <c r="F102" s="352">
        <f>SUM(F91:F101)</f>
        <v>0</v>
      </c>
    </row>
    <row r="103" spans="2:6" ht="14.85" customHeight="1" x14ac:dyDescent="0.25">
      <c r="C103"/>
      <c r="D103"/>
      <c r="F103"/>
    </row>
    <row r="104" spans="2:6" ht="14.85" customHeight="1" thickBot="1" x14ac:dyDescent="0.3">
      <c r="C104"/>
      <c r="D104"/>
      <c r="F104"/>
    </row>
    <row r="105" spans="2:6" ht="14.85" customHeight="1" x14ac:dyDescent="0.25">
      <c r="B105" s="613" t="s">
        <v>21</v>
      </c>
      <c r="C105" s="613" t="s">
        <v>22</v>
      </c>
      <c r="D105" s="650" t="s">
        <v>131</v>
      </c>
      <c r="E105" s="653" t="s">
        <v>132</v>
      </c>
      <c r="F105" s="623" t="s">
        <v>119</v>
      </c>
    </row>
    <row r="106" spans="2:6" ht="14.85" customHeight="1" x14ac:dyDescent="0.25">
      <c r="B106" s="614"/>
      <c r="C106" s="614"/>
      <c r="D106" s="651"/>
      <c r="E106" s="654"/>
      <c r="F106" s="624"/>
    </row>
    <row r="107" spans="2:6" ht="14.85" customHeight="1" x14ac:dyDescent="0.25">
      <c r="B107" s="614"/>
      <c r="C107" s="614"/>
      <c r="D107" s="651"/>
      <c r="E107" s="654"/>
      <c r="F107" s="624"/>
    </row>
    <row r="108" spans="2:6" ht="14.85" customHeight="1" thickBot="1" x14ac:dyDescent="0.3">
      <c r="B108" s="615"/>
      <c r="C108" s="615"/>
      <c r="D108" s="652"/>
      <c r="E108" s="655"/>
      <c r="F108" s="649"/>
    </row>
    <row r="109" spans="2:6" ht="14.85" customHeight="1" x14ac:dyDescent="0.25">
      <c r="B109" s="156">
        <f>ÜLDANDMED!H10</f>
        <v>2027</v>
      </c>
      <c r="C109" s="93" t="s">
        <v>133</v>
      </c>
      <c r="D109" s="241"/>
      <c r="E109" s="295"/>
      <c r="F109" s="355"/>
    </row>
    <row r="110" spans="2:6" ht="14.85" customHeight="1" x14ac:dyDescent="0.25">
      <c r="B110" s="94"/>
      <c r="C110" s="245"/>
      <c r="D110" s="247"/>
      <c r="E110" s="242" t="e">
        <f>LOOKUP(C110,'KHG eriheitetegurid'!$B$147:$B$157,'KHG eriheitetegurid'!$D$147:$D$157)</f>
        <v>#N/A</v>
      </c>
      <c r="F110" s="256" t="str">
        <f t="shared" si="0"/>
        <v/>
      </c>
    </row>
    <row r="111" spans="2:6" ht="14.85" customHeight="1" x14ac:dyDescent="0.25">
      <c r="B111" s="94"/>
      <c r="C111" s="245"/>
      <c r="D111" s="247"/>
      <c r="E111" s="242" t="e">
        <f>LOOKUP(C111,'KHG eriheitetegurid'!$B$147:$B$157,'KHG eriheitetegurid'!$D$147:$D$157)</f>
        <v>#N/A</v>
      </c>
      <c r="F111" s="256" t="str">
        <f t="shared" si="0"/>
        <v/>
      </c>
    </row>
    <row r="112" spans="2:6" ht="14.85" customHeight="1" x14ac:dyDescent="0.25">
      <c r="B112" s="94"/>
      <c r="C112" s="245"/>
      <c r="D112" s="247"/>
      <c r="E112" s="242" t="e">
        <f>LOOKUP(C112,'KHG eriheitetegurid'!$B$147:$B$157,'KHG eriheitetegurid'!$D$147:$D$157)</f>
        <v>#N/A</v>
      </c>
      <c r="F112" s="256" t="str">
        <f t="shared" si="0"/>
        <v/>
      </c>
    </row>
    <row r="113" spans="2:6" ht="14.85" customHeight="1" x14ac:dyDescent="0.25">
      <c r="B113" s="94"/>
      <c r="C113" s="245"/>
      <c r="D113" s="247"/>
      <c r="E113" s="242" t="e">
        <f>LOOKUP(C113,'KHG eriheitetegurid'!$B$147:$B$157,'KHG eriheitetegurid'!$D$147:$D$157)</f>
        <v>#N/A</v>
      </c>
      <c r="F113" s="256" t="str">
        <f t="shared" si="0"/>
        <v/>
      </c>
    </row>
    <row r="114" spans="2:6" ht="14.85" customHeight="1" x14ac:dyDescent="0.25">
      <c r="B114" s="94"/>
      <c r="C114" s="245"/>
      <c r="D114" s="247"/>
      <c r="E114" s="242" t="e">
        <f>LOOKUP(C114,'KHG eriheitetegurid'!$B$147:$B$157,'KHG eriheitetegurid'!$D$147:$D$157)</f>
        <v>#N/A</v>
      </c>
      <c r="F114" s="256" t="str">
        <f t="shared" si="0"/>
        <v/>
      </c>
    </row>
    <row r="115" spans="2:6" ht="14.85" customHeight="1" x14ac:dyDescent="0.25">
      <c r="B115" s="94"/>
      <c r="C115" s="245"/>
      <c r="D115" s="247"/>
      <c r="E115" s="242" t="e">
        <f>LOOKUP(C115,'KHG eriheitetegurid'!$B$147:$B$157,'KHG eriheitetegurid'!$D$147:$D$157)</f>
        <v>#N/A</v>
      </c>
      <c r="F115" s="256" t="str">
        <f t="shared" ref="F115:F139" si="1">_xlfn.IFNA(D115*E115/1000,"")</f>
        <v/>
      </c>
    </row>
    <row r="116" spans="2:6" ht="14.85" customHeight="1" x14ac:dyDescent="0.25">
      <c r="B116" s="94"/>
      <c r="C116" s="245"/>
      <c r="D116" s="247"/>
      <c r="E116" s="242" t="e">
        <f>LOOKUP(C116,'KHG eriheitetegurid'!$B$147:$B$157,'KHG eriheitetegurid'!$D$147:$D$157)</f>
        <v>#N/A</v>
      </c>
      <c r="F116" s="256" t="str">
        <f t="shared" si="1"/>
        <v/>
      </c>
    </row>
    <row r="117" spans="2:6" ht="14.85" customHeight="1" x14ac:dyDescent="0.25">
      <c r="B117" s="94"/>
      <c r="C117" s="245"/>
      <c r="D117" s="247"/>
      <c r="E117" s="242" t="e">
        <f>LOOKUP(C117,'KHG eriheitetegurid'!$B$147:$B$157,'KHG eriheitetegurid'!$D$147:$D$157)</f>
        <v>#N/A</v>
      </c>
      <c r="F117" s="256" t="str">
        <f t="shared" si="1"/>
        <v/>
      </c>
    </row>
    <row r="118" spans="2:6" ht="14.85" customHeight="1" x14ac:dyDescent="0.25">
      <c r="B118" s="94"/>
      <c r="C118" s="245"/>
      <c r="D118" s="247"/>
      <c r="E118" s="242" t="e">
        <f>LOOKUP(C118,'KHG eriheitetegurid'!$B$147:$B$157,'KHG eriheitetegurid'!$D$147:$D$157)</f>
        <v>#N/A</v>
      </c>
      <c r="F118" s="256" t="str">
        <f t="shared" si="1"/>
        <v/>
      </c>
    </row>
    <row r="119" spans="2:6" ht="14.85" customHeight="1" x14ac:dyDescent="0.25">
      <c r="B119" s="94"/>
      <c r="C119" s="245"/>
      <c r="D119" s="247"/>
      <c r="E119" s="242" t="e">
        <f>LOOKUP(C119,'KHG eriheitetegurid'!$B$147:$B$157,'KHG eriheitetegurid'!$D$147:$D$157)</f>
        <v>#N/A</v>
      </c>
      <c r="F119" s="256" t="str">
        <f t="shared" si="1"/>
        <v/>
      </c>
    </row>
    <row r="120" spans="2:6" ht="14.85" customHeight="1" thickBot="1" x14ac:dyDescent="0.3">
      <c r="B120" s="111"/>
      <c r="C120" s="246"/>
      <c r="D120" s="251"/>
      <c r="E120" s="244" t="e">
        <f>LOOKUP(C120,'KHG eriheitetegurid'!$B$147:$B$157,'KHG eriheitetegurid'!$D$147:$D$157)</f>
        <v>#N/A</v>
      </c>
      <c r="F120" s="256" t="str">
        <f t="shared" si="1"/>
        <v/>
      </c>
    </row>
    <row r="121" spans="2:6" ht="14.85" customHeight="1" thickBot="1" x14ac:dyDescent="0.3">
      <c r="B121" s="111"/>
      <c r="C121" s="325" t="s">
        <v>134</v>
      </c>
      <c r="D121" s="353"/>
      <c r="E121" s="354"/>
      <c r="F121" s="352">
        <f>SUM(F110:F120)</f>
        <v>0</v>
      </c>
    </row>
    <row r="122" spans="2:6" ht="14.85" customHeight="1" x14ac:dyDescent="0.25">
      <c r="C122"/>
      <c r="D122"/>
      <c r="F122"/>
    </row>
    <row r="123" spans="2:6" ht="14.85" customHeight="1" thickBot="1" x14ac:dyDescent="0.3">
      <c r="C123"/>
      <c r="D123"/>
      <c r="F123"/>
    </row>
    <row r="124" spans="2:6" ht="14.85" customHeight="1" x14ac:dyDescent="0.25">
      <c r="B124" s="613" t="s">
        <v>21</v>
      </c>
      <c r="C124" s="613" t="s">
        <v>22</v>
      </c>
      <c r="D124" s="650" t="s">
        <v>131</v>
      </c>
      <c r="E124" s="653" t="s">
        <v>132</v>
      </c>
      <c r="F124" s="623" t="s">
        <v>119</v>
      </c>
    </row>
    <row r="125" spans="2:6" ht="14.85" customHeight="1" x14ac:dyDescent="0.25">
      <c r="B125" s="614"/>
      <c r="C125" s="614"/>
      <c r="D125" s="651"/>
      <c r="E125" s="654"/>
      <c r="F125" s="624"/>
    </row>
    <row r="126" spans="2:6" ht="14.85" customHeight="1" x14ac:dyDescent="0.25">
      <c r="B126" s="614"/>
      <c r="C126" s="614"/>
      <c r="D126" s="651"/>
      <c r="E126" s="654"/>
      <c r="F126" s="624"/>
    </row>
    <row r="127" spans="2:6" ht="14.85" customHeight="1" thickBot="1" x14ac:dyDescent="0.3">
      <c r="B127" s="615"/>
      <c r="C127" s="615"/>
      <c r="D127" s="652"/>
      <c r="E127" s="655"/>
      <c r="F127" s="649"/>
    </row>
    <row r="128" spans="2:6" ht="14.85" customHeight="1" x14ac:dyDescent="0.25">
      <c r="B128" s="156">
        <f>ÜLDANDMED!I10</f>
        <v>2028</v>
      </c>
      <c r="C128" s="93" t="s">
        <v>133</v>
      </c>
      <c r="D128" s="241"/>
      <c r="E128" s="295"/>
      <c r="F128" s="355"/>
    </row>
    <row r="129" spans="2:6" ht="14.85" customHeight="1" x14ac:dyDescent="0.25">
      <c r="B129" s="94"/>
      <c r="C129" s="245"/>
      <c r="D129" s="252"/>
      <c r="E129" s="253" t="e">
        <f>LOOKUP(C129,'KHG eriheitetegurid'!$B$147:$B$157,'KHG eriheitetegurid'!$D$147:$D$157)</f>
        <v>#N/A</v>
      </c>
      <c r="F129" s="256" t="str">
        <f t="shared" si="1"/>
        <v/>
      </c>
    </row>
    <row r="130" spans="2:6" ht="14.85" customHeight="1" x14ac:dyDescent="0.25">
      <c r="B130" s="94"/>
      <c r="C130" s="245"/>
      <c r="D130" s="249"/>
      <c r="E130" s="242" t="e">
        <f>LOOKUP(C130,'KHG eriheitetegurid'!$B$147:$B$157,'KHG eriheitetegurid'!$D$147:$D$157)</f>
        <v>#N/A</v>
      </c>
      <c r="F130" s="256" t="str">
        <f t="shared" si="1"/>
        <v/>
      </c>
    </row>
    <row r="131" spans="2:6" ht="14.85" customHeight="1" x14ac:dyDescent="0.25">
      <c r="B131" s="94"/>
      <c r="C131" s="245"/>
      <c r="D131" s="249"/>
      <c r="E131" s="242" t="e">
        <f>LOOKUP(C131,'KHG eriheitetegurid'!$B$147:$B$157,'KHG eriheitetegurid'!$D$147:$D$157)</f>
        <v>#N/A</v>
      </c>
      <c r="F131" s="256" t="str">
        <f t="shared" si="1"/>
        <v/>
      </c>
    </row>
    <row r="132" spans="2:6" ht="14.85" customHeight="1" x14ac:dyDescent="0.25">
      <c r="B132" s="94"/>
      <c r="C132" s="245"/>
      <c r="D132" s="249"/>
      <c r="E132" s="242" t="e">
        <f>LOOKUP(C132,'KHG eriheitetegurid'!$B$147:$B$157,'KHG eriheitetegurid'!$D$147:$D$157)</f>
        <v>#N/A</v>
      </c>
      <c r="F132" s="256" t="str">
        <f t="shared" si="1"/>
        <v/>
      </c>
    </row>
    <row r="133" spans="2:6" ht="14.85" customHeight="1" x14ac:dyDescent="0.25">
      <c r="B133" s="94"/>
      <c r="C133" s="245"/>
      <c r="D133" s="249"/>
      <c r="E133" s="242" t="e">
        <f>LOOKUP(C133,'KHG eriheitetegurid'!$B$147:$B$157,'KHG eriheitetegurid'!$D$147:$D$157)</f>
        <v>#N/A</v>
      </c>
      <c r="F133" s="256" t="str">
        <f t="shared" si="1"/>
        <v/>
      </c>
    </row>
    <row r="134" spans="2:6" ht="14.85" customHeight="1" x14ac:dyDescent="0.25">
      <c r="B134" s="94"/>
      <c r="C134" s="245"/>
      <c r="D134" s="249"/>
      <c r="E134" s="242" t="e">
        <f>LOOKUP(C134,'KHG eriheitetegurid'!$B$147:$B$157,'KHG eriheitetegurid'!$D$147:$D$157)</f>
        <v>#N/A</v>
      </c>
      <c r="F134" s="256" t="str">
        <f t="shared" si="1"/>
        <v/>
      </c>
    </row>
    <row r="135" spans="2:6" ht="14.85" customHeight="1" x14ac:dyDescent="0.25">
      <c r="B135" s="94"/>
      <c r="C135" s="245"/>
      <c r="D135" s="249"/>
      <c r="E135" s="242" t="e">
        <f>LOOKUP(C135,'KHG eriheitetegurid'!$B$147:$B$157,'KHG eriheitetegurid'!$D$147:$D$157)</f>
        <v>#N/A</v>
      </c>
      <c r="F135" s="256" t="str">
        <f t="shared" si="1"/>
        <v/>
      </c>
    </row>
    <row r="136" spans="2:6" ht="14.85" customHeight="1" x14ac:dyDescent="0.25">
      <c r="B136" s="94"/>
      <c r="C136" s="245"/>
      <c r="D136" s="249"/>
      <c r="E136" s="242" t="e">
        <f>LOOKUP(C136,'KHG eriheitetegurid'!$B$147:$B$157,'KHG eriheitetegurid'!$D$147:$D$157)</f>
        <v>#N/A</v>
      </c>
      <c r="F136" s="256" t="str">
        <f t="shared" si="1"/>
        <v/>
      </c>
    </row>
    <row r="137" spans="2:6" ht="14.85" customHeight="1" x14ac:dyDescent="0.25">
      <c r="B137" s="94"/>
      <c r="C137" s="245"/>
      <c r="D137" s="249"/>
      <c r="E137" s="242" t="e">
        <f>LOOKUP(C137,'KHG eriheitetegurid'!$B$147:$B$157,'KHG eriheitetegurid'!$D$147:$D$157)</f>
        <v>#N/A</v>
      </c>
      <c r="F137" s="256" t="str">
        <f t="shared" si="1"/>
        <v/>
      </c>
    </row>
    <row r="138" spans="2:6" ht="14.85" customHeight="1" x14ac:dyDescent="0.25">
      <c r="B138" s="94"/>
      <c r="C138" s="245"/>
      <c r="D138" s="249"/>
      <c r="E138" s="242" t="e">
        <f>LOOKUP(C138,'KHG eriheitetegurid'!$B$147:$B$157,'KHG eriheitetegurid'!$D$147:$D$157)</f>
        <v>#N/A</v>
      </c>
      <c r="F138" s="256" t="str">
        <f t="shared" si="1"/>
        <v/>
      </c>
    </row>
    <row r="139" spans="2:6" ht="14.85" customHeight="1" thickBot="1" x14ac:dyDescent="0.3">
      <c r="B139" s="111"/>
      <c r="C139" s="246"/>
      <c r="D139" s="250"/>
      <c r="E139" s="243" t="e">
        <f>LOOKUP(C139,'KHG eriheitetegurid'!$B$147:$B$157,'KHG eriheitetegurid'!$D$147:$D$157)</f>
        <v>#N/A</v>
      </c>
      <c r="F139" s="257" t="str">
        <f t="shared" si="1"/>
        <v/>
      </c>
    </row>
    <row r="140" spans="2:6" ht="14.85" customHeight="1" thickBot="1" x14ac:dyDescent="0.3">
      <c r="B140" s="111"/>
      <c r="C140" s="325" t="s">
        <v>134</v>
      </c>
      <c r="D140" s="353"/>
      <c r="E140" s="354"/>
      <c r="F140" s="352">
        <f>SUM(F129:F139)</f>
        <v>0</v>
      </c>
    </row>
  </sheetData>
  <mergeCells count="36">
    <mergeCell ref="B124:B127"/>
    <mergeCell ref="C124:C127"/>
    <mergeCell ref="D124:D127"/>
    <mergeCell ref="E124:E127"/>
    <mergeCell ref="F124:F127"/>
    <mergeCell ref="B105:B108"/>
    <mergeCell ref="C105:C108"/>
    <mergeCell ref="D105:D108"/>
    <mergeCell ref="E105:E108"/>
    <mergeCell ref="F105:F108"/>
    <mergeCell ref="B86:B89"/>
    <mergeCell ref="C86:C89"/>
    <mergeCell ref="D86:D89"/>
    <mergeCell ref="E86:E89"/>
    <mergeCell ref="F86:F89"/>
    <mergeCell ref="B67:B70"/>
    <mergeCell ref="C67:C70"/>
    <mergeCell ref="D67:D70"/>
    <mergeCell ref="E67:E70"/>
    <mergeCell ref="F67:F70"/>
    <mergeCell ref="B48:B51"/>
    <mergeCell ref="C48:C51"/>
    <mergeCell ref="D48:D51"/>
    <mergeCell ref="E48:E51"/>
    <mergeCell ref="F48:F51"/>
    <mergeCell ref="B29:B32"/>
    <mergeCell ref="C29:C32"/>
    <mergeCell ref="D29:D32"/>
    <mergeCell ref="E29:E32"/>
    <mergeCell ref="F29:F32"/>
    <mergeCell ref="B10:B13"/>
    <mergeCell ref="C10:C13"/>
    <mergeCell ref="D10:D13"/>
    <mergeCell ref="E10:E13"/>
    <mergeCell ref="B3:K3"/>
    <mergeCell ref="F10:F13"/>
  </mergeCells>
  <hyperlinks>
    <hyperlink ref="B3:K3" r:id="rId1" display="https://klab.ee/f-gaasid/f-gaaside-co%e2%82%82-ekvivalendi-kalkulaator/" xr:uid="{EA0A49AD-BB38-4E2A-8A84-6F5973CE80C9}"/>
  </hyperlinks>
  <pageMargins left="0.70866141732283472" right="0.70866141732283472" top="0.74803149606299213" bottom="0.74803149606299213" header="0.31496062992125984" footer="0.31496062992125984"/>
  <pageSetup scale="77" fitToHeight="2" orientation="portrait" horizontalDpi="4294967295" verticalDpi="4294967295" r:id="rId2"/>
  <extLst>
    <ext xmlns:x14="http://schemas.microsoft.com/office/spreadsheetml/2009/9/main" uri="{CCE6A557-97BC-4b89-ADB6-D9C93CAAB3DF}">
      <x14:dataValidations xmlns:xm="http://schemas.microsoft.com/office/excel/2006/main" count="1">
        <x14:dataValidation type="list" allowBlank="1" showInputMessage="1" showErrorMessage="1" xr:uid="{49E4E3A6-A5CF-4C72-8A09-40E579C1C6B7}">
          <x14:formula1>
            <xm:f>'KHG eriheitetegurid'!$B$147:$B$157</xm:f>
          </x14:formula1>
          <xm:sqref>C110:C120 C129:C139 C53:C63 C34:C44 C91:C101 C15:C25 C72:C82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90FE-85E0-4CCB-96C5-5FF0FDFE5546}">
  <sheetPr>
    <tabColor rgb="FFF4B084"/>
    <pageSetUpPr fitToPage="1"/>
  </sheetPr>
  <dimension ref="B1:N167"/>
  <sheetViews>
    <sheetView showGridLines="0" zoomScaleNormal="100" workbookViewId="0">
      <pane xSplit="1" ySplit="1" topLeftCell="B10" activePane="bottomRight" state="frozen"/>
      <selection pane="topRight" activeCell="B1" sqref="B1"/>
      <selection pane="bottomLeft" activeCell="A3" sqref="A3"/>
      <selection pane="bottomRight" activeCell="I29" sqref="I29"/>
    </sheetView>
  </sheetViews>
  <sheetFormatPr defaultRowHeight="14.85" customHeight="1" x14ac:dyDescent="0.25"/>
  <cols>
    <col min="1" max="1" width="2.5703125" customWidth="1"/>
    <col min="2" max="2" width="7.5703125" customWidth="1"/>
    <col min="3" max="3" width="40.42578125" style="3" customWidth="1"/>
    <col min="4" max="4" width="15.5703125" style="81" customWidth="1"/>
    <col min="5" max="5" width="15.5703125" style="39" customWidth="1"/>
    <col min="6" max="6" width="15.5703125" style="81" customWidth="1"/>
  </cols>
  <sheetData>
    <row r="1" spans="2:11" ht="18.600000000000001" customHeight="1" x14ac:dyDescent="0.35">
      <c r="B1" s="28" t="s">
        <v>135</v>
      </c>
      <c r="C1" s="157"/>
    </row>
    <row r="2" spans="2:11" ht="14.85" customHeight="1" x14ac:dyDescent="0.3">
      <c r="C2" s="98"/>
    </row>
    <row r="3" spans="2:11" ht="201" customHeight="1" x14ac:dyDescent="0.25">
      <c r="B3" s="569" t="s">
        <v>136</v>
      </c>
      <c r="C3" s="579"/>
      <c r="D3" s="579"/>
      <c r="E3" s="579"/>
      <c r="F3" s="580"/>
    </row>
    <row r="5" spans="2:11" ht="14.85" customHeight="1" x14ac:dyDescent="0.25">
      <c r="B5" s="60" t="s">
        <v>8</v>
      </c>
      <c r="C5" s="99"/>
    </row>
    <row r="6" spans="2:11" ht="14.85" customHeight="1" x14ac:dyDescent="0.25">
      <c r="C6" s="166" t="s">
        <v>9</v>
      </c>
      <c r="D6"/>
      <c r="E6" s="3"/>
      <c r="F6"/>
      <c r="G6" s="81"/>
      <c r="H6" s="3"/>
      <c r="J6" s="3"/>
      <c r="K6" s="39"/>
    </row>
    <row r="7" spans="2:11" ht="14.85" customHeight="1" x14ac:dyDescent="0.25">
      <c r="C7" s="163" t="s">
        <v>10</v>
      </c>
      <c r="D7"/>
      <c r="E7" s="3"/>
      <c r="F7"/>
      <c r="G7" s="3"/>
      <c r="I7" s="3"/>
      <c r="J7" s="39"/>
    </row>
    <row r="8" spans="2:11" ht="14.85" customHeight="1" thickBot="1" x14ac:dyDescent="0.3"/>
    <row r="9" spans="2:11" ht="14.85" customHeight="1" x14ac:dyDescent="0.25">
      <c r="B9" s="613" t="s">
        <v>21</v>
      </c>
      <c r="C9" s="613" t="s">
        <v>22</v>
      </c>
      <c r="D9" s="647" t="s">
        <v>137</v>
      </c>
      <c r="E9" s="653" t="s">
        <v>138</v>
      </c>
      <c r="F9" s="647" t="s">
        <v>139</v>
      </c>
    </row>
    <row r="10" spans="2:11" ht="14.85" customHeight="1" x14ac:dyDescent="0.25">
      <c r="B10" s="614"/>
      <c r="C10" s="614"/>
      <c r="D10" s="659"/>
      <c r="E10" s="654"/>
      <c r="F10" s="659"/>
    </row>
    <row r="11" spans="2:11" ht="14.85" customHeight="1" thickBot="1" x14ac:dyDescent="0.3">
      <c r="B11" s="615"/>
      <c r="C11" s="615"/>
      <c r="D11" s="648"/>
      <c r="E11" s="655"/>
      <c r="F11" s="648"/>
    </row>
    <row r="12" spans="2:11" ht="14.85" customHeight="1" x14ac:dyDescent="0.25">
      <c r="B12" s="125">
        <f>ÜLDANDMED!C10</f>
        <v>2022</v>
      </c>
      <c r="C12" s="316" t="s">
        <v>140</v>
      </c>
      <c r="D12" s="83" t="s">
        <v>141</v>
      </c>
      <c r="E12" s="305" t="s">
        <v>142</v>
      </c>
      <c r="F12" s="305" t="s">
        <v>142</v>
      </c>
    </row>
    <row r="13" spans="2:11" ht="14.85" customHeight="1" x14ac:dyDescent="0.25">
      <c r="B13" s="101"/>
      <c r="C13" s="317" t="s">
        <v>143</v>
      </c>
      <c r="D13" s="96"/>
      <c r="E13" s="308">
        <f>D13*sõiduauto_bensiin_2022/1000</f>
        <v>0</v>
      </c>
      <c r="F13" s="328"/>
    </row>
    <row r="14" spans="2:11" ht="14.85" customHeight="1" x14ac:dyDescent="0.25">
      <c r="B14" s="101"/>
      <c r="C14" s="317" t="s">
        <v>144</v>
      </c>
      <c r="D14" s="96"/>
      <c r="E14" s="308">
        <f>D14*sõiduauto_diisel_2022/1000</f>
        <v>0</v>
      </c>
      <c r="F14" s="96"/>
    </row>
    <row r="15" spans="2:11" ht="14.85" customHeight="1" x14ac:dyDescent="0.25">
      <c r="B15" s="101"/>
      <c r="C15" s="317" t="s">
        <v>145</v>
      </c>
      <c r="D15" s="109"/>
      <c r="E15" s="308">
        <f>D15*sõiduauto_bioCNG_2022/1000</f>
        <v>0</v>
      </c>
      <c r="F15" s="109"/>
    </row>
    <row r="16" spans="2:11" ht="14.85" customHeight="1" x14ac:dyDescent="0.25">
      <c r="B16" s="101"/>
      <c r="C16" s="317" t="s">
        <v>146</v>
      </c>
      <c r="D16" s="109"/>
      <c r="E16" s="308">
        <f>D16*sõiduauto_CNG_2022/1000</f>
        <v>0</v>
      </c>
      <c r="F16" s="109"/>
    </row>
    <row r="17" spans="2:14" ht="14.85" customHeight="1" x14ac:dyDescent="0.25">
      <c r="B17" s="101"/>
      <c r="C17" s="100" t="s">
        <v>147</v>
      </c>
      <c r="D17" s="109"/>
      <c r="E17" s="308">
        <f>D17*sõiduauto_hübriid_2022/1000</f>
        <v>0</v>
      </c>
      <c r="F17" s="109"/>
    </row>
    <row r="18" spans="2:14" ht="14.85" customHeight="1" x14ac:dyDescent="0.25">
      <c r="B18" s="101"/>
      <c r="C18" s="317" t="s">
        <v>148</v>
      </c>
      <c r="D18" s="109"/>
      <c r="E18" s="308">
        <f>D18*sõiduauto_taastuvelekter/1000</f>
        <v>0</v>
      </c>
      <c r="F18" s="109"/>
    </row>
    <row r="19" spans="2:14" ht="14.85" customHeight="1" x14ac:dyDescent="0.25">
      <c r="B19" s="101"/>
      <c r="C19" s="317" t="s">
        <v>149</v>
      </c>
      <c r="D19" s="109"/>
      <c r="E19" s="326">
        <f>D19*sõiduauto_tavaelekter_2022/1000</f>
        <v>0</v>
      </c>
      <c r="F19" s="324"/>
    </row>
    <row r="20" spans="2:14" ht="14.85" customHeight="1" thickBot="1" x14ac:dyDescent="0.3">
      <c r="B20" s="94"/>
      <c r="C20" s="408" t="s">
        <v>150</v>
      </c>
      <c r="D20" s="95"/>
      <c r="E20" s="308">
        <f>D20*sõiduk_takso_2022/1000</f>
        <v>0</v>
      </c>
      <c r="F20" s="95"/>
    </row>
    <row r="21" spans="2:14" ht="14.85" customHeight="1" x14ac:dyDescent="0.25">
      <c r="B21" s="94"/>
      <c r="C21" s="318" t="s">
        <v>151</v>
      </c>
      <c r="D21" s="83" t="s">
        <v>152</v>
      </c>
      <c r="E21" s="207" t="s">
        <v>142</v>
      </c>
      <c r="F21" s="327" t="s">
        <v>142</v>
      </c>
    </row>
    <row r="22" spans="2:14" ht="14.85" customHeight="1" x14ac:dyDescent="0.25">
      <c r="B22" s="94"/>
      <c r="C22" s="319" t="s">
        <v>153</v>
      </c>
      <c r="D22" s="95"/>
      <c r="E22" s="308">
        <f>D22*sõiduk_buss_kaugliin_2022/1000</f>
        <v>0</v>
      </c>
      <c r="F22" s="95"/>
    </row>
    <row r="23" spans="2:14" ht="14.85" customHeight="1" x14ac:dyDescent="0.25">
      <c r="B23" s="94"/>
      <c r="C23" s="319" t="s">
        <v>154</v>
      </c>
      <c r="D23" s="95"/>
      <c r="E23" s="308">
        <f>D23*sõiduk_buss_linnaliin_Tallinn_2022/1000</f>
        <v>0</v>
      </c>
      <c r="F23" s="95"/>
    </row>
    <row r="24" spans="2:14" ht="14.85" customHeight="1" x14ac:dyDescent="0.25">
      <c r="B24" s="94"/>
      <c r="C24" s="319" t="s">
        <v>155</v>
      </c>
      <c r="D24" s="95"/>
      <c r="E24" s="308">
        <f>D24*sõiduk_buss_linnaliin_Eesti_2022/1000</f>
        <v>0</v>
      </c>
      <c r="F24" s="95"/>
    </row>
    <row r="25" spans="2:14" ht="14.85" customHeight="1" x14ac:dyDescent="0.25">
      <c r="B25" s="94"/>
      <c r="C25" s="319" t="s">
        <v>156</v>
      </c>
      <c r="D25" s="95"/>
      <c r="E25" s="308">
        <f>D25*sõiduk_diiselrong_2022/1000</f>
        <v>0</v>
      </c>
      <c r="F25" s="95"/>
    </row>
    <row r="26" spans="2:14" ht="14.85" customHeight="1" x14ac:dyDescent="0.25">
      <c r="B26" s="94"/>
      <c r="C26" s="319" t="s">
        <v>157</v>
      </c>
      <c r="D26" s="95"/>
      <c r="E26" s="308">
        <f>D26*sõiduk_elektrirong/1000</f>
        <v>0</v>
      </c>
      <c r="F26" s="95"/>
    </row>
    <row r="27" spans="2:14" ht="14.85" customHeight="1" x14ac:dyDescent="0.25">
      <c r="B27" s="94"/>
      <c r="C27" s="320" t="s">
        <v>158</v>
      </c>
      <c r="D27" s="95"/>
      <c r="E27" s="308">
        <f>D27*sõiduk_laev_2022/1000</f>
        <v>0</v>
      </c>
      <c r="F27" s="95"/>
      <c r="N27" s="49"/>
    </row>
    <row r="28" spans="2:14" ht="14.85" customHeight="1" thickBot="1" x14ac:dyDescent="0.3">
      <c r="B28" s="94"/>
      <c r="C28" s="317" t="s">
        <v>159</v>
      </c>
      <c r="D28" s="95"/>
      <c r="E28" s="308">
        <f>D28*sõiduk_lennuk_2022/1000</f>
        <v>0</v>
      </c>
      <c r="F28" s="95"/>
    </row>
    <row r="29" spans="2:14" ht="14.85" customHeight="1" thickBot="1" x14ac:dyDescent="0.3">
      <c r="B29" s="158"/>
      <c r="C29" s="325" t="s">
        <v>160</v>
      </c>
      <c r="D29" s="329"/>
      <c r="E29" s="660">
        <f>SUM(E13:E20,E22:E28,F13:F20,F22:F28)</f>
        <v>0</v>
      </c>
      <c r="F29" s="661"/>
    </row>
    <row r="30" spans="2:14" ht="14.85" customHeight="1" x14ac:dyDescent="0.25">
      <c r="C30"/>
      <c r="D30"/>
      <c r="E30"/>
      <c r="F30"/>
    </row>
    <row r="31" spans="2:14" ht="14.85" customHeight="1" thickBot="1" x14ac:dyDescent="0.3">
      <c r="C31"/>
      <c r="D31"/>
      <c r="E31"/>
      <c r="F31"/>
    </row>
    <row r="32" spans="2:14" ht="14.85" customHeight="1" x14ac:dyDescent="0.25">
      <c r="B32" s="613" t="s">
        <v>21</v>
      </c>
      <c r="C32" s="613" t="s">
        <v>22</v>
      </c>
      <c r="D32" s="647" t="s">
        <v>137</v>
      </c>
      <c r="E32" s="653" t="s">
        <v>138</v>
      </c>
      <c r="F32" s="647" t="s">
        <v>139</v>
      </c>
    </row>
    <row r="33" spans="2:6" ht="14.85" customHeight="1" x14ac:dyDescent="0.25">
      <c r="B33" s="614"/>
      <c r="C33" s="614"/>
      <c r="D33" s="659"/>
      <c r="E33" s="654"/>
      <c r="F33" s="659"/>
    </row>
    <row r="34" spans="2:6" ht="14.85" customHeight="1" thickBot="1" x14ac:dyDescent="0.3">
      <c r="B34" s="615"/>
      <c r="C34" s="615"/>
      <c r="D34" s="648"/>
      <c r="E34" s="655"/>
      <c r="F34" s="648"/>
    </row>
    <row r="35" spans="2:6" ht="14.85" customHeight="1" x14ac:dyDescent="0.25">
      <c r="B35" s="125">
        <f>ÜLDANDMED!D10</f>
        <v>2023</v>
      </c>
      <c r="C35" s="93" t="s">
        <v>140</v>
      </c>
      <c r="D35" s="83" t="s">
        <v>141</v>
      </c>
      <c r="E35" s="201" t="s">
        <v>142</v>
      </c>
      <c r="F35" s="305" t="s">
        <v>142</v>
      </c>
    </row>
    <row r="36" spans="2:6" ht="14.85" customHeight="1" x14ac:dyDescent="0.25">
      <c r="B36" s="101"/>
      <c r="C36" s="100" t="s">
        <v>143</v>
      </c>
      <c r="D36" s="96"/>
      <c r="E36" s="308">
        <f>D36*sõiduauto_bensiin_2023/1000</f>
        <v>0</v>
      </c>
      <c r="F36" s="328"/>
    </row>
    <row r="37" spans="2:6" ht="14.85" customHeight="1" x14ac:dyDescent="0.25">
      <c r="B37" s="101"/>
      <c r="C37" s="100" t="s">
        <v>144</v>
      </c>
      <c r="D37" s="96"/>
      <c r="E37" s="308">
        <f>D37*sõiduauto_diisel_2023/1000</f>
        <v>0</v>
      </c>
      <c r="F37" s="330"/>
    </row>
    <row r="38" spans="2:6" ht="14.85" customHeight="1" x14ac:dyDescent="0.25">
      <c r="B38" s="101"/>
      <c r="C38" s="317" t="s">
        <v>145</v>
      </c>
      <c r="D38" s="109"/>
      <c r="E38" s="308">
        <f>D38*sõiduauto_bioCNG_2023/1000</f>
        <v>0</v>
      </c>
      <c r="F38" s="328"/>
    </row>
    <row r="39" spans="2:6" ht="14.85" customHeight="1" x14ac:dyDescent="0.25">
      <c r="B39" s="101"/>
      <c r="C39" s="317" t="s">
        <v>146</v>
      </c>
      <c r="D39" s="109"/>
      <c r="E39" s="308">
        <f>D39*sõiduauto_CNG_2023/1000</f>
        <v>0</v>
      </c>
      <c r="F39" s="109"/>
    </row>
    <row r="40" spans="2:6" ht="14.85" customHeight="1" x14ac:dyDescent="0.25">
      <c r="B40" s="101"/>
      <c r="C40" s="100" t="s">
        <v>147</v>
      </c>
      <c r="D40" s="109"/>
      <c r="E40" s="308">
        <f>D40*sõiduauto_hübriid_2023/1000</f>
        <v>0</v>
      </c>
      <c r="F40" s="328"/>
    </row>
    <row r="41" spans="2:6" ht="14.85" customHeight="1" x14ac:dyDescent="0.25">
      <c r="B41" s="101"/>
      <c r="C41" s="100" t="s">
        <v>148</v>
      </c>
      <c r="D41" s="109"/>
      <c r="E41" s="308">
        <f>D41*sõiduauto_taastuvelekter/1000</f>
        <v>0</v>
      </c>
      <c r="F41" s="328"/>
    </row>
    <row r="42" spans="2:6" ht="14.85" customHeight="1" x14ac:dyDescent="0.25">
      <c r="B42" s="101"/>
      <c r="C42" s="100" t="s">
        <v>149</v>
      </c>
      <c r="D42" s="109"/>
      <c r="E42" s="308">
        <f>D42*sõiduauto_tavaelekter_2023/1000</f>
        <v>0</v>
      </c>
      <c r="F42" s="328"/>
    </row>
    <row r="43" spans="2:6" ht="14.85" customHeight="1" thickBot="1" x14ac:dyDescent="0.3">
      <c r="B43" s="94"/>
      <c r="C43" s="85" t="s">
        <v>150</v>
      </c>
      <c r="D43" s="95"/>
      <c r="E43" s="308">
        <f>D43*sõiduk_takso_2023/1000</f>
        <v>0</v>
      </c>
      <c r="F43" s="411"/>
    </row>
    <row r="44" spans="2:6" ht="14.85" customHeight="1" x14ac:dyDescent="0.25">
      <c r="B44" s="94"/>
      <c r="C44" s="201" t="s">
        <v>151</v>
      </c>
      <c r="D44" s="83" t="s">
        <v>152</v>
      </c>
      <c r="E44" s="201" t="s">
        <v>142</v>
      </c>
      <c r="F44" s="305" t="s">
        <v>142</v>
      </c>
    </row>
    <row r="45" spans="2:6" ht="14.85" customHeight="1" x14ac:dyDescent="0.25">
      <c r="B45" s="94"/>
      <c r="C45" s="85" t="s">
        <v>153</v>
      </c>
      <c r="D45" s="95"/>
      <c r="E45" s="308">
        <f>D45*sõiduk_buss_kaugliin_2023/1000</f>
        <v>0</v>
      </c>
      <c r="F45" s="95"/>
    </row>
    <row r="46" spans="2:6" ht="14.85" customHeight="1" x14ac:dyDescent="0.25">
      <c r="B46" s="94"/>
      <c r="C46" s="319" t="s">
        <v>154</v>
      </c>
      <c r="D46" s="95"/>
      <c r="E46" s="308">
        <f>D46*sõiduk_buss_linnaliin_Tallinn_2023/1000</f>
        <v>0</v>
      </c>
      <c r="F46" s="95"/>
    </row>
    <row r="47" spans="2:6" ht="14.85" customHeight="1" x14ac:dyDescent="0.25">
      <c r="B47" s="94"/>
      <c r="C47" s="319" t="s">
        <v>155</v>
      </c>
      <c r="D47" s="95"/>
      <c r="E47" s="308">
        <f>D47*sõiduk_buss_linnaliin_Eesti_2023/1000</f>
        <v>0</v>
      </c>
      <c r="F47" s="95"/>
    </row>
    <row r="48" spans="2:6" ht="14.85" customHeight="1" x14ac:dyDescent="0.25">
      <c r="B48" s="94"/>
      <c r="C48" s="85" t="s">
        <v>156</v>
      </c>
      <c r="D48" s="95"/>
      <c r="E48" s="308">
        <f>D48*sõiduk_diiselrong_2023/1000</f>
        <v>0</v>
      </c>
      <c r="F48" s="95"/>
    </row>
    <row r="49" spans="2:14" ht="14.85" customHeight="1" x14ac:dyDescent="0.25">
      <c r="B49" s="94"/>
      <c r="C49" s="85" t="s">
        <v>157</v>
      </c>
      <c r="D49" s="95"/>
      <c r="E49" s="308">
        <f>D49*sõiduk_elektrirong/1000</f>
        <v>0</v>
      </c>
      <c r="F49" s="95"/>
    </row>
    <row r="50" spans="2:14" ht="14.85" customHeight="1" x14ac:dyDescent="0.25">
      <c r="B50" s="94"/>
      <c r="C50" s="107" t="s">
        <v>158</v>
      </c>
      <c r="D50" s="95"/>
      <c r="E50" s="308">
        <f>D50*sõiduk_laev_2023/1000</f>
        <v>0</v>
      </c>
      <c r="F50" s="95"/>
      <c r="N50" s="49"/>
    </row>
    <row r="51" spans="2:14" ht="14.85" customHeight="1" thickBot="1" x14ac:dyDescent="0.3">
      <c r="B51" s="94"/>
      <c r="C51" s="100" t="s">
        <v>159</v>
      </c>
      <c r="D51" s="95"/>
      <c r="E51" s="308">
        <f>D51*sõiduk_lennuk_2023/1000</f>
        <v>0</v>
      </c>
      <c r="F51" s="95"/>
    </row>
    <row r="52" spans="2:14" ht="14.85" customHeight="1" thickBot="1" x14ac:dyDescent="0.3">
      <c r="B52" s="158"/>
      <c r="C52" s="325" t="s">
        <v>160</v>
      </c>
      <c r="D52" s="329"/>
      <c r="E52" s="660">
        <f>SUM(E36:E43,E45:E51,F36:F43,F45:F51)</f>
        <v>0</v>
      </c>
      <c r="F52" s="661"/>
    </row>
    <row r="53" spans="2:14" ht="14.85" customHeight="1" x14ac:dyDescent="0.25">
      <c r="C53"/>
      <c r="D53"/>
      <c r="E53"/>
      <c r="F53"/>
    </row>
    <row r="54" spans="2:14" ht="14.85" customHeight="1" thickBot="1" x14ac:dyDescent="0.3">
      <c r="C54"/>
      <c r="D54"/>
      <c r="E54"/>
      <c r="F54"/>
    </row>
    <row r="55" spans="2:14" ht="14.85" customHeight="1" x14ac:dyDescent="0.25">
      <c r="B55" s="613" t="s">
        <v>21</v>
      </c>
      <c r="C55" s="613" t="s">
        <v>22</v>
      </c>
      <c r="D55" s="647" t="s">
        <v>137</v>
      </c>
      <c r="E55" s="653" t="s">
        <v>138</v>
      </c>
      <c r="F55" s="647" t="s">
        <v>139</v>
      </c>
    </row>
    <row r="56" spans="2:14" ht="14.85" customHeight="1" x14ac:dyDescent="0.25">
      <c r="B56" s="614"/>
      <c r="C56" s="614"/>
      <c r="D56" s="659"/>
      <c r="E56" s="654"/>
      <c r="F56" s="659"/>
    </row>
    <row r="57" spans="2:14" ht="14.85" customHeight="1" thickBot="1" x14ac:dyDescent="0.3">
      <c r="B57" s="615"/>
      <c r="C57" s="615"/>
      <c r="D57" s="648"/>
      <c r="E57" s="655"/>
      <c r="F57" s="648"/>
    </row>
    <row r="58" spans="2:14" ht="14.85" customHeight="1" x14ac:dyDescent="0.25">
      <c r="B58" s="125">
        <f>ÜLDANDMED!E10</f>
        <v>2024</v>
      </c>
      <c r="C58" s="93" t="s">
        <v>140</v>
      </c>
      <c r="D58" s="83" t="s">
        <v>141</v>
      </c>
      <c r="E58" s="201" t="s">
        <v>142</v>
      </c>
      <c r="F58" s="305" t="s">
        <v>142</v>
      </c>
    </row>
    <row r="59" spans="2:14" ht="14.85" customHeight="1" x14ac:dyDescent="0.25">
      <c r="B59" s="101"/>
      <c r="C59" s="100" t="s">
        <v>143</v>
      </c>
      <c r="D59" s="96"/>
      <c r="E59" s="308">
        <f>D59*sõiduauto_bensiin_2024/1000</f>
        <v>0</v>
      </c>
      <c r="F59" s="328"/>
    </row>
    <row r="60" spans="2:14" ht="14.85" customHeight="1" x14ac:dyDescent="0.25">
      <c r="B60" s="101"/>
      <c r="C60" s="100" t="s">
        <v>144</v>
      </c>
      <c r="D60" s="96"/>
      <c r="E60" s="308">
        <f>D60*sõiduauto_diisel_2024/1000</f>
        <v>0</v>
      </c>
      <c r="F60" s="330"/>
    </row>
    <row r="61" spans="2:14" ht="14.85" customHeight="1" x14ac:dyDescent="0.25">
      <c r="B61" s="101"/>
      <c r="C61" s="317" t="s">
        <v>145</v>
      </c>
      <c r="D61" s="109"/>
      <c r="E61" s="308">
        <f>D61*sõiduauto_bioCNG_2024/1000</f>
        <v>0</v>
      </c>
      <c r="F61" s="328"/>
    </row>
    <row r="62" spans="2:14" ht="14.85" customHeight="1" x14ac:dyDescent="0.25">
      <c r="B62" s="101"/>
      <c r="C62" s="317" t="s">
        <v>146</v>
      </c>
      <c r="D62" s="109"/>
      <c r="E62" s="308">
        <f>D62*sõiduauto_CNG_2024/1000</f>
        <v>0</v>
      </c>
      <c r="F62" s="109"/>
    </row>
    <row r="63" spans="2:14" ht="14.85" customHeight="1" x14ac:dyDescent="0.25">
      <c r="B63" s="101"/>
      <c r="C63" s="100" t="s">
        <v>147</v>
      </c>
      <c r="D63" s="109"/>
      <c r="E63" s="308">
        <f>D63*sõiduauto_hübriid_2024/1000</f>
        <v>0</v>
      </c>
      <c r="F63" s="328"/>
    </row>
    <row r="64" spans="2:14" ht="14.85" customHeight="1" x14ac:dyDescent="0.25">
      <c r="B64" s="101"/>
      <c r="C64" s="100" t="s">
        <v>148</v>
      </c>
      <c r="D64" s="109"/>
      <c r="E64" s="308">
        <f>D64*sõiduauto_taastuvelekter/1000</f>
        <v>0</v>
      </c>
      <c r="F64" s="328"/>
    </row>
    <row r="65" spans="2:14" ht="14.85" customHeight="1" x14ac:dyDescent="0.25">
      <c r="B65" s="101"/>
      <c r="C65" s="100" t="s">
        <v>149</v>
      </c>
      <c r="D65" s="109"/>
      <c r="E65" s="308">
        <f>D65*sõiduauto_tavaelekter_2024/1000</f>
        <v>0</v>
      </c>
      <c r="F65" s="328"/>
    </row>
    <row r="66" spans="2:14" ht="14.85" customHeight="1" thickBot="1" x14ac:dyDescent="0.3">
      <c r="B66" s="94"/>
      <c r="C66" s="85" t="s">
        <v>150</v>
      </c>
      <c r="D66" s="95"/>
      <c r="E66" s="308">
        <f>D66*sõiduk_takso_2024/1000</f>
        <v>0</v>
      </c>
      <c r="F66" s="411"/>
    </row>
    <row r="67" spans="2:14" ht="14.85" customHeight="1" x14ac:dyDescent="0.25">
      <c r="B67" s="94"/>
      <c r="C67" s="201" t="s">
        <v>151</v>
      </c>
      <c r="D67" s="83" t="s">
        <v>152</v>
      </c>
      <c r="E67" s="201" t="s">
        <v>142</v>
      </c>
      <c r="F67" s="305" t="s">
        <v>142</v>
      </c>
    </row>
    <row r="68" spans="2:14" ht="14.85" customHeight="1" x14ac:dyDescent="0.25">
      <c r="B68" s="94"/>
      <c r="C68" s="85" t="s">
        <v>153</v>
      </c>
      <c r="D68" s="95"/>
      <c r="E68" s="308">
        <f>D68*sõiduk_buss_kaugliin_2024/1000</f>
        <v>0</v>
      </c>
      <c r="F68" s="95"/>
    </row>
    <row r="69" spans="2:14" ht="14.85" customHeight="1" x14ac:dyDescent="0.25">
      <c r="B69" s="94"/>
      <c r="C69" s="319" t="s">
        <v>154</v>
      </c>
      <c r="D69" s="95"/>
      <c r="E69" s="308">
        <f>D69*sõiduk_buss_linnaliin_Tallinn_2024/1000</f>
        <v>0</v>
      </c>
      <c r="F69" s="95"/>
    </row>
    <row r="70" spans="2:14" ht="14.85" customHeight="1" x14ac:dyDescent="0.25">
      <c r="B70" s="94"/>
      <c r="C70" s="319" t="s">
        <v>155</v>
      </c>
      <c r="D70" s="95"/>
      <c r="E70" s="308">
        <f>D70*sõiduk_buss_linnaliin_Eesti_2024/1000</f>
        <v>0</v>
      </c>
      <c r="F70" s="95"/>
    </row>
    <row r="71" spans="2:14" ht="14.85" customHeight="1" x14ac:dyDescent="0.25">
      <c r="B71" s="94"/>
      <c r="C71" s="85" t="s">
        <v>156</v>
      </c>
      <c r="D71" s="95"/>
      <c r="E71" s="308">
        <f>D71*sõiduk_diiselrong_2024/1000</f>
        <v>0</v>
      </c>
      <c r="F71" s="95"/>
    </row>
    <row r="72" spans="2:14" ht="14.85" customHeight="1" x14ac:dyDescent="0.25">
      <c r="B72" s="94"/>
      <c r="C72" s="85" t="s">
        <v>157</v>
      </c>
      <c r="D72" s="95"/>
      <c r="E72" s="308">
        <f>D72*sõiduk_elektrirong/1000</f>
        <v>0</v>
      </c>
      <c r="F72" s="95"/>
    </row>
    <row r="73" spans="2:14" ht="14.85" customHeight="1" x14ac:dyDescent="0.25">
      <c r="B73" s="94"/>
      <c r="C73" s="107" t="s">
        <v>158</v>
      </c>
      <c r="D73" s="95"/>
      <c r="E73" s="308">
        <f>D73*sõiduk_laev_2024/1000</f>
        <v>0</v>
      </c>
      <c r="F73" s="95"/>
      <c r="N73" s="49"/>
    </row>
    <row r="74" spans="2:14" ht="14.85" customHeight="1" thickBot="1" x14ac:dyDescent="0.3">
      <c r="B74" s="94"/>
      <c r="C74" s="100" t="s">
        <v>159</v>
      </c>
      <c r="D74" s="95"/>
      <c r="E74" s="308">
        <f>D74*sõiduk_lennuk_2024/1000</f>
        <v>0</v>
      </c>
      <c r="F74" s="95"/>
    </row>
    <row r="75" spans="2:14" ht="14.85" customHeight="1" thickBot="1" x14ac:dyDescent="0.3">
      <c r="B75" s="158"/>
      <c r="C75" s="325" t="s">
        <v>160</v>
      </c>
      <c r="D75" s="329"/>
      <c r="E75" s="660">
        <f>SUM(E59:E66,E68:E74,F59:F66,F68:F74)</f>
        <v>0</v>
      </c>
      <c r="F75" s="661"/>
    </row>
    <row r="76" spans="2:14" ht="14.85" customHeight="1" x14ac:dyDescent="0.25">
      <c r="C76"/>
      <c r="D76"/>
      <c r="E76"/>
      <c r="F76"/>
    </row>
    <row r="77" spans="2:14" ht="14.85" customHeight="1" thickBot="1" x14ac:dyDescent="0.3">
      <c r="C77"/>
      <c r="D77"/>
      <c r="E77"/>
      <c r="F77"/>
    </row>
    <row r="78" spans="2:14" ht="14.85" customHeight="1" x14ac:dyDescent="0.25">
      <c r="B78" s="613" t="s">
        <v>21</v>
      </c>
      <c r="C78" s="613" t="s">
        <v>22</v>
      </c>
      <c r="D78" s="647" t="s">
        <v>137</v>
      </c>
      <c r="E78" s="653" t="s">
        <v>138</v>
      </c>
      <c r="F78" s="647" t="s">
        <v>139</v>
      </c>
    </row>
    <row r="79" spans="2:14" ht="14.85" customHeight="1" x14ac:dyDescent="0.25">
      <c r="B79" s="614"/>
      <c r="C79" s="614"/>
      <c r="D79" s="659"/>
      <c r="E79" s="654"/>
      <c r="F79" s="659"/>
    </row>
    <row r="80" spans="2:14" ht="14.85" customHeight="1" thickBot="1" x14ac:dyDescent="0.3">
      <c r="B80" s="615"/>
      <c r="C80" s="615"/>
      <c r="D80" s="648"/>
      <c r="E80" s="655"/>
      <c r="F80" s="648"/>
    </row>
    <row r="81" spans="2:14" ht="14.85" customHeight="1" x14ac:dyDescent="0.25">
      <c r="B81" s="125">
        <f>ÜLDANDMED!F10</f>
        <v>2025</v>
      </c>
      <c r="C81" s="93" t="s">
        <v>140</v>
      </c>
      <c r="D81" s="83" t="s">
        <v>141</v>
      </c>
      <c r="E81" s="201" t="s">
        <v>142</v>
      </c>
      <c r="F81" s="305" t="s">
        <v>142</v>
      </c>
    </row>
    <row r="82" spans="2:14" ht="14.85" customHeight="1" x14ac:dyDescent="0.25">
      <c r="B82" s="101"/>
      <c r="C82" s="100" t="s">
        <v>143</v>
      </c>
      <c r="D82" s="96"/>
      <c r="E82" s="308">
        <f>D82*sõiduauto_bensiin_2025/1000</f>
        <v>0</v>
      </c>
      <c r="F82" s="328"/>
    </row>
    <row r="83" spans="2:14" ht="14.85" customHeight="1" x14ac:dyDescent="0.25">
      <c r="B83" s="101"/>
      <c r="C83" s="100" t="s">
        <v>144</v>
      </c>
      <c r="D83" s="96"/>
      <c r="E83" s="308">
        <f>D83*sõiduauto_diisel_2025/1000</f>
        <v>0</v>
      </c>
      <c r="F83" s="330"/>
    </row>
    <row r="84" spans="2:14" ht="14.85" customHeight="1" x14ac:dyDescent="0.25">
      <c r="B84" s="101"/>
      <c r="C84" s="317" t="s">
        <v>145</v>
      </c>
      <c r="D84" s="109"/>
      <c r="E84" s="308">
        <f>D84*sõiduauto_bioCNG_2025/1000</f>
        <v>0</v>
      </c>
      <c r="F84" s="328"/>
    </row>
    <row r="85" spans="2:14" ht="14.85" customHeight="1" x14ac:dyDescent="0.25">
      <c r="B85" s="101"/>
      <c r="C85" s="317" t="s">
        <v>146</v>
      </c>
      <c r="D85" s="109"/>
      <c r="E85" s="308">
        <f>D85*sõiduauto_CNG_2025/1000</f>
        <v>0</v>
      </c>
      <c r="F85" s="109"/>
    </row>
    <row r="86" spans="2:14" ht="14.85" customHeight="1" x14ac:dyDescent="0.25">
      <c r="B86" s="101"/>
      <c r="C86" s="100" t="s">
        <v>147</v>
      </c>
      <c r="D86" s="109"/>
      <c r="E86" s="308">
        <f>D86*sõiduauto_hübriid_2025/1000</f>
        <v>0</v>
      </c>
      <c r="F86" s="328"/>
    </row>
    <row r="87" spans="2:14" ht="14.85" customHeight="1" x14ac:dyDescent="0.25">
      <c r="B87" s="101"/>
      <c r="C87" s="100" t="s">
        <v>148</v>
      </c>
      <c r="D87" s="109"/>
      <c r="E87" s="308">
        <f>D87*sõiduauto_taastuvelekter/1000</f>
        <v>0</v>
      </c>
      <c r="F87" s="328"/>
    </row>
    <row r="88" spans="2:14" ht="14.85" customHeight="1" x14ac:dyDescent="0.25">
      <c r="B88" s="101"/>
      <c r="C88" s="100" t="s">
        <v>149</v>
      </c>
      <c r="D88" s="109"/>
      <c r="E88" s="308">
        <f>D88*sõiduauto_tavaelekter_2025/1000</f>
        <v>0</v>
      </c>
      <c r="F88" s="328"/>
    </row>
    <row r="89" spans="2:14" ht="14.85" customHeight="1" thickBot="1" x14ac:dyDescent="0.3">
      <c r="B89" s="94"/>
      <c r="C89" s="85" t="s">
        <v>150</v>
      </c>
      <c r="D89" s="95"/>
      <c r="E89" s="308">
        <f>D89*sõiduk_takso_2025/1000</f>
        <v>0</v>
      </c>
      <c r="F89" s="411"/>
    </row>
    <row r="90" spans="2:14" ht="14.85" customHeight="1" x14ac:dyDescent="0.25">
      <c r="B90" s="94"/>
      <c r="C90" s="201" t="s">
        <v>151</v>
      </c>
      <c r="D90" s="83" t="s">
        <v>152</v>
      </c>
      <c r="E90" s="201" t="s">
        <v>142</v>
      </c>
      <c r="F90" s="305" t="s">
        <v>142</v>
      </c>
    </row>
    <row r="91" spans="2:14" ht="14.85" customHeight="1" x14ac:dyDescent="0.25">
      <c r="B91" s="94"/>
      <c r="C91" s="85" t="s">
        <v>153</v>
      </c>
      <c r="D91" s="95"/>
      <c r="E91" s="308">
        <f>D91*sõiduk_buss_kaugliin_2025/1000</f>
        <v>0</v>
      </c>
      <c r="F91" s="95"/>
    </row>
    <row r="92" spans="2:14" ht="14.85" customHeight="1" x14ac:dyDescent="0.25">
      <c r="B92" s="94"/>
      <c r="C92" s="319" t="s">
        <v>154</v>
      </c>
      <c r="D92" s="95"/>
      <c r="E92" s="308">
        <f>D92*sõiduk_buss_linnaliin_Tallinn_2025/1000</f>
        <v>0</v>
      </c>
      <c r="F92" s="95"/>
    </row>
    <row r="93" spans="2:14" ht="14.85" customHeight="1" x14ac:dyDescent="0.25">
      <c r="B93" s="94"/>
      <c r="C93" s="319" t="s">
        <v>155</v>
      </c>
      <c r="D93" s="95"/>
      <c r="E93" s="308">
        <f>D93*sõiduk_buss_linnaliin_Eesti_2025/1000</f>
        <v>0</v>
      </c>
      <c r="F93" s="95"/>
    </row>
    <row r="94" spans="2:14" ht="14.85" customHeight="1" x14ac:dyDescent="0.25">
      <c r="B94" s="94"/>
      <c r="C94" s="85" t="s">
        <v>156</v>
      </c>
      <c r="D94" s="95"/>
      <c r="E94" s="308">
        <f>D94*sõiduk_diiselrong_2025/1000</f>
        <v>0</v>
      </c>
      <c r="F94" s="95"/>
    </row>
    <row r="95" spans="2:14" ht="14.85" customHeight="1" x14ac:dyDescent="0.25">
      <c r="B95" s="94"/>
      <c r="C95" s="85" t="s">
        <v>157</v>
      </c>
      <c r="D95" s="95"/>
      <c r="E95" s="308">
        <f>D95*sõiduk_elektrirong/1000</f>
        <v>0</v>
      </c>
      <c r="F95" s="95"/>
    </row>
    <row r="96" spans="2:14" ht="14.85" customHeight="1" x14ac:dyDescent="0.25">
      <c r="B96" s="94"/>
      <c r="C96" s="107" t="s">
        <v>158</v>
      </c>
      <c r="D96" s="95"/>
      <c r="E96" s="308">
        <f>D96*sõiduk_laev_2025/1000</f>
        <v>0</v>
      </c>
      <c r="F96" s="95"/>
      <c r="N96" s="49"/>
    </row>
    <row r="97" spans="2:6" ht="14.85" customHeight="1" thickBot="1" x14ac:dyDescent="0.3">
      <c r="B97" s="94"/>
      <c r="C97" s="100" t="s">
        <v>159</v>
      </c>
      <c r="D97" s="95"/>
      <c r="E97" s="308">
        <f>D97*sõiduk_lennuk_2025/1000</f>
        <v>0</v>
      </c>
      <c r="F97" s="95"/>
    </row>
    <row r="98" spans="2:6" ht="14.85" customHeight="1" thickBot="1" x14ac:dyDescent="0.3">
      <c r="B98" s="158"/>
      <c r="C98" s="325" t="s">
        <v>160</v>
      </c>
      <c r="D98" s="329"/>
      <c r="E98" s="660">
        <f>SUM(E82:E89,E91:E97,F82:F89,F91:F97)</f>
        <v>0</v>
      </c>
      <c r="F98" s="661"/>
    </row>
    <row r="99" spans="2:6" ht="14.85" customHeight="1" x14ac:dyDescent="0.25">
      <c r="C99"/>
      <c r="D99"/>
      <c r="E99"/>
      <c r="F99"/>
    </row>
    <row r="100" spans="2:6" ht="14.85" customHeight="1" thickBot="1" x14ac:dyDescent="0.3">
      <c r="C100"/>
      <c r="D100"/>
      <c r="E100"/>
      <c r="F100"/>
    </row>
    <row r="101" spans="2:6" ht="14.85" customHeight="1" x14ac:dyDescent="0.25">
      <c r="B101" s="613" t="s">
        <v>21</v>
      </c>
      <c r="C101" s="613" t="s">
        <v>22</v>
      </c>
      <c r="D101" s="647" t="s">
        <v>137</v>
      </c>
      <c r="E101" s="653" t="s">
        <v>138</v>
      </c>
      <c r="F101" s="647" t="s">
        <v>139</v>
      </c>
    </row>
    <row r="102" spans="2:6" ht="14.85" customHeight="1" x14ac:dyDescent="0.25">
      <c r="B102" s="614"/>
      <c r="C102" s="614"/>
      <c r="D102" s="659"/>
      <c r="E102" s="654"/>
      <c r="F102" s="659"/>
    </row>
    <row r="103" spans="2:6" ht="14.85" customHeight="1" thickBot="1" x14ac:dyDescent="0.3">
      <c r="B103" s="615"/>
      <c r="C103" s="615"/>
      <c r="D103" s="648"/>
      <c r="E103" s="655"/>
      <c r="F103" s="648"/>
    </row>
    <row r="104" spans="2:6" ht="14.85" customHeight="1" x14ac:dyDescent="0.25">
      <c r="B104" s="125">
        <f>ÜLDANDMED!G10</f>
        <v>2026</v>
      </c>
      <c r="C104" s="93" t="s">
        <v>140</v>
      </c>
      <c r="D104" s="83" t="s">
        <v>141</v>
      </c>
      <c r="E104" s="201" t="s">
        <v>142</v>
      </c>
      <c r="F104" s="305" t="s">
        <v>142</v>
      </c>
    </row>
    <row r="105" spans="2:6" ht="14.85" customHeight="1" x14ac:dyDescent="0.25">
      <c r="B105" s="101"/>
      <c r="C105" s="100" t="s">
        <v>143</v>
      </c>
      <c r="D105" s="96"/>
      <c r="E105" s="308">
        <f>D105*sõiduauto_bensiin_2026/1000</f>
        <v>0</v>
      </c>
      <c r="F105" s="328"/>
    </row>
    <row r="106" spans="2:6" ht="14.85" customHeight="1" x14ac:dyDescent="0.25">
      <c r="B106" s="101"/>
      <c r="C106" s="100" t="s">
        <v>144</v>
      </c>
      <c r="D106" s="96"/>
      <c r="E106" s="308">
        <f>D106*sõiduauto_diisel_2026/1000</f>
        <v>0</v>
      </c>
      <c r="F106" s="330"/>
    </row>
    <row r="107" spans="2:6" ht="14.85" customHeight="1" x14ac:dyDescent="0.25">
      <c r="B107" s="101"/>
      <c r="C107" s="317" t="s">
        <v>145</v>
      </c>
      <c r="D107" s="109"/>
      <c r="E107" s="308">
        <f>D107*sõiduauto_bioCNG_2026/1000</f>
        <v>0</v>
      </c>
      <c r="F107" s="328"/>
    </row>
    <row r="108" spans="2:6" ht="14.85" customHeight="1" x14ac:dyDescent="0.25">
      <c r="B108" s="101"/>
      <c r="C108" s="317" t="s">
        <v>146</v>
      </c>
      <c r="D108" s="109"/>
      <c r="E108" s="308">
        <f>D108*sõiduauto_CNG_2026/1000</f>
        <v>0</v>
      </c>
      <c r="F108" s="109"/>
    </row>
    <row r="109" spans="2:6" ht="14.85" customHeight="1" x14ac:dyDescent="0.25">
      <c r="B109" s="101"/>
      <c r="C109" s="100" t="s">
        <v>147</v>
      </c>
      <c r="D109" s="109"/>
      <c r="E109" s="308">
        <f>D109*sõiduauto_hübriid_2026/1000</f>
        <v>0</v>
      </c>
      <c r="F109" s="328"/>
    </row>
    <row r="110" spans="2:6" ht="14.85" customHeight="1" x14ac:dyDescent="0.25">
      <c r="B110" s="101"/>
      <c r="C110" s="100" t="s">
        <v>148</v>
      </c>
      <c r="D110" s="109"/>
      <c r="E110" s="308">
        <f>D110*sõiduauto_taastuvelekter/1000</f>
        <v>0</v>
      </c>
      <c r="F110" s="328"/>
    </row>
    <row r="111" spans="2:6" ht="14.85" customHeight="1" x14ac:dyDescent="0.25">
      <c r="B111" s="101"/>
      <c r="C111" s="100" t="s">
        <v>149</v>
      </c>
      <c r="D111" s="109"/>
      <c r="E111" s="308">
        <f>D111*sõiduauto_tavaelekter_2026/1000</f>
        <v>0</v>
      </c>
      <c r="F111" s="328"/>
    </row>
    <row r="112" spans="2:6" ht="14.85" customHeight="1" thickBot="1" x14ac:dyDescent="0.3">
      <c r="B112" s="94"/>
      <c r="C112" s="85" t="s">
        <v>150</v>
      </c>
      <c r="D112" s="95"/>
      <c r="E112" s="308">
        <f>D112*sõiduk_takso_2026/1000</f>
        <v>0</v>
      </c>
      <c r="F112" s="411"/>
    </row>
    <row r="113" spans="2:14" ht="14.85" customHeight="1" x14ac:dyDescent="0.25">
      <c r="B113" s="94"/>
      <c r="C113" s="201" t="s">
        <v>151</v>
      </c>
      <c r="D113" s="83" t="s">
        <v>152</v>
      </c>
      <c r="E113" s="201" t="s">
        <v>142</v>
      </c>
      <c r="F113" s="305" t="s">
        <v>142</v>
      </c>
    </row>
    <row r="114" spans="2:14" ht="14.85" customHeight="1" x14ac:dyDescent="0.25">
      <c r="B114" s="94"/>
      <c r="C114" s="85" t="s">
        <v>153</v>
      </c>
      <c r="D114" s="95"/>
      <c r="E114" s="308">
        <f>D114*sõiduk_buss_kaugliin_2026/1000</f>
        <v>0</v>
      </c>
      <c r="F114" s="95"/>
    </row>
    <row r="115" spans="2:14" ht="14.85" customHeight="1" x14ac:dyDescent="0.25">
      <c r="B115" s="94"/>
      <c r="C115" s="319" t="s">
        <v>154</v>
      </c>
      <c r="D115" s="95"/>
      <c r="E115" s="308">
        <f>D115*sõiduk_buss_linnaliin_Tallinn_2026/1000</f>
        <v>0</v>
      </c>
      <c r="F115" s="95"/>
    </row>
    <row r="116" spans="2:14" ht="14.85" customHeight="1" x14ac:dyDescent="0.25">
      <c r="B116" s="94"/>
      <c r="C116" s="319" t="s">
        <v>155</v>
      </c>
      <c r="D116" s="95"/>
      <c r="E116" s="308">
        <f>D116*sõiduk_buss_linnaliin_Eesti_2026/1000</f>
        <v>0</v>
      </c>
      <c r="F116" s="95"/>
    </row>
    <row r="117" spans="2:14" ht="14.85" customHeight="1" x14ac:dyDescent="0.25">
      <c r="B117" s="94"/>
      <c r="C117" s="85" t="s">
        <v>156</v>
      </c>
      <c r="D117" s="95"/>
      <c r="E117" s="308">
        <f>D117*sõiduk_diiselrong_2026/1000</f>
        <v>0</v>
      </c>
      <c r="F117" s="95"/>
    </row>
    <row r="118" spans="2:14" ht="14.85" customHeight="1" x14ac:dyDescent="0.25">
      <c r="B118" s="94"/>
      <c r="C118" s="85" t="s">
        <v>157</v>
      </c>
      <c r="D118" s="95"/>
      <c r="E118" s="308">
        <f>D118*sõiduk_elektrirong/1000</f>
        <v>0</v>
      </c>
      <c r="F118" s="95"/>
    </row>
    <row r="119" spans="2:14" ht="14.85" customHeight="1" x14ac:dyDescent="0.25">
      <c r="B119" s="94"/>
      <c r="C119" s="107" t="s">
        <v>158</v>
      </c>
      <c r="D119" s="95"/>
      <c r="E119" s="308">
        <f>D119*sõiduk_laev_2026/1000</f>
        <v>0</v>
      </c>
      <c r="F119" s="95"/>
      <c r="N119" s="49"/>
    </row>
    <row r="120" spans="2:14" ht="14.85" customHeight="1" thickBot="1" x14ac:dyDescent="0.3">
      <c r="B120" s="94"/>
      <c r="C120" s="100" t="s">
        <v>159</v>
      </c>
      <c r="D120" s="95"/>
      <c r="E120" s="308">
        <f>D120*sõiduk_lennuk_2026/1000</f>
        <v>0</v>
      </c>
      <c r="F120" s="95"/>
    </row>
    <row r="121" spans="2:14" ht="14.85" customHeight="1" thickBot="1" x14ac:dyDescent="0.3">
      <c r="B121" s="158"/>
      <c r="C121" s="325" t="s">
        <v>160</v>
      </c>
      <c r="D121" s="329"/>
      <c r="E121" s="660">
        <f>SUM(E105:E112,E114:E120,F105:F112,F114:F120)</f>
        <v>0</v>
      </c>
      <c r="F121" s="661"/>
    </row>
    <row r="122" spans="2:14" ht="14.85" customHeight="1" x14ac:dyDescent="0.25">
      <c r="C122"/>
      <c r="D122"/>
      <c r="E122"/>
      <c r="F122"/>
    </row>
    <row r="123" spans="2:14" ht="14.85" customHeight="1" thickBot="1" x14ac:dyDescent="0.3">
      <c r="C123"/>
      <c r="D123"/>
      <c r="E123"/>
      <c r="F123"/>
    </row>
    <row r="124" spans="2:14" ht="14.85" customHeight="1" x14ac:dyDescent="0.25">
      <c r="B124" s="613" t="s">
        <v>21</v>
      </c>
      <c r="C124" s="613" t="s">
        <v>22</v>
      </c>
      <c r="D124" s="647" t="s">
        <v>137</v>
      </c>
      <c r="E124" s="653" t="s">
        <v>138</v>
      </c>
      <c r="F124" s="647" t="s">
        <v>139</v>
      </c>
    </row>
    <row r="125" spans="2:14" ht="14.85" customHeight="1" x14ac:dyDescent="0.25">
      <c r="B125" s="614"/>
      <c r="C125" s="614"/>
      <c r="D125" s="659"/>
      <c r="E125" s="654"/>
      <c r="F125" s="659"/>
    </row>
    <row r="126" spans="2:14" ht="14.85" customHeight="1" thickBot="1" x14ac:dyDescent="0.3">
      <c r="B126" s="615"/>
      <c r="C126" s="615"/>
      <c r="D126" s="648"/>
      <c r="E126" s="655"/>
      <c r="F126" s="648"/>
    </row>
    <row r="127" spans="2:14" ht="14.85" customHeight="1" x14ac:dyDescent="0.25">
      <c r="B127" s="205">
        <f>ÜLDANDMED!H10</f>
        <v>2027</v>
      </c>
      <c r="C127" s="93" t="s">
        <v>140</v>
      </c>
      <c r="D127" s="83" t="s">
        <v>141</v>
      </c>
      <c r="E127" s="201" t="s">
        <v>142</v>
      </c>
      <c r="F127" s="305" t="s">
        <v>142</v>
      </c>
    </row>
    <row r="128" spans="2:14" ht="14.85" customHeight="1" x14ac:dyDescent="0.25">
      <c r="B128" s="102"/>
      <c r="C128" s="100" t="s">
        <v>143</v>
      </c>
      <c r="D128" s="96"/>
      <c r="E128" s="308">
        <f>D128*sõiduauto_bensiin_2027/1000</f>
        <v>0</v>
      </c>
      <c r="F128" s="328"/>
    </row>
    <row r="129" spans="2:14" ht="14.85" customHeight="1" x14ac:dyDescent="0.25">
      <c r="B129" s="102"/>
      <c r="C129" s="100" t="s">
        <v>144</v>
      </c>
      <c r="D129" s="96"/>
      <c r="E129" s="308">
        <f>D129*sõiduauto_diisel_2027/1000</f>
        <v>0</v>
      </c>
      <c r="F129" s="330"/>
    </row>
    <row r="130" spans="2:14" ht="14.85" customHeight="1" x14ac:dyDescent="0.25">
      <c r="B130" s="102"/>
      <c r="C130" s="100" t="s">
        <v>145</v>
      </c>
      <c r="D130" s="109"/>
      <c r="E130" s="308">
        <f>D130*sõiduauto_bioCNG_2027/1000</f>
        <v>0</v>
      </c>
      <c r="F130" s="328"/>
    </row>
    <row r="131" spans="2:14" ht="14.85" customHeight="1" x14ac:dyDescent="0.25">
      <c r="B131" s="101"/>
      <c r="C131" s="317" t="s">
        <v>146</v>
      </c>
      <c r="D131" s="109"/>
      <c r="E131" s="308">
        <f>D131*sõiduauto_CNG_2027/1000</f>
        <v>0</v>
      </c>
      <c r="F131" s="109"/>
    </row>
    <row r="132" spans="2:14" ht="14.85" customHeight="1" x14ac:dyDescent="0.25">
      <c r="B132" s="102"/>
      <c r="C132" s="100" t="s">
        <v>147</v>
      </c>
      <c r="D132" s="109"/>
      <c r="E132" s="308">
        <f>D132*sõiduauto_hübriid_2027/1000</f>
        <v>0</v>
      </c>
      <c r="F132" s="328"/>
    </row>
    <row r="133" spans="2:14" ht="14.85" customHeight="1" x14ac:dyDescent="0.25">
      <c r="B133" s="102"/>
      <c r="C133" s="100" t="s">
        <v>148</v>
      </c>
      <c r="D133" s="109"/>
      <c r="E133" s="308">
        <f>D133*sõiduauto_taastuvelekter/1000</f>
        <v>0</v>
      </c>
      <c r="F133" s="328"/>
    </row>
    <row r="134" spans="2:14" ht="14.85" customHeight="1" x14ac:dyDescent="0.25">
      <c r="B134" s="102"/>
      <c r="C134" s="100" t="s">
        <v>149</v>
      </c>
      <c r="D134" s="109"/>
      <c r="E134" s="308">
        <f>D134*sõiduauto_tavaelekter_2027/1000</f>
        <v>0</v>
      </c>
      <c r="F134" s="328"/>
    </row>
    <row r="135" spans="2:14" ht="14.85" customHeight="1" thickBot="1" x14ac:dyDescent="0.3">
      <c r="B135" s="104"/>
      <c r="C135" s="85" t="s">
        <v>150</v>
      </c>
      <c r="D135" s="95"/>
      <c r="E135" s="308">
        <f>D135*sõiduk_takso_2027/1000</f>
        <v>0</v>
      </c>
      <c r="F135" s="411"/>
    </row>
    <row r="136" spans="2:14" ht="14.85" customHeight="1" x14ac:dyDescent="0.25">
      <c r="B136" s="104"/>
      <c r="C136" s="201" t="s">
        <v>151</v>
      </c>
      <c r="D136" s="83" t="s">
        <v>152</v>
      </c>
      <c r="E136" s="201" t="s">
        <v>142</v>
      </c>
      <c r="F136" s="305" t="s">
        <v>142</v>
      </c>
    </row>
    <row r="137" spans="2:14" ht="14.85" customHeight="1" x14ac:dyDescent="0.25">
      <c r="B137" s="104"/>
      <c r="C137" s="85" t="s">
        <v>153</v>
      </c>
      <c r="D137" s="95"/>
      <c r="E137" s="308">
        <f>D137*sõiduk_buss_kaugliin_2027/1000</f>
        <v>0</v>
      </c>
      <c r="F137" s="95"/>
    </row>
    <row r="138" spans="2:14" ht="14.85" customHeight="1" x14ac:dyDescent="0.25">
      <c r="B138" s="104"/>
      <c r="C138" s="85" t="s">
        <v>154</v>
      </c>
      <c r="D138" s="95"/>
      <c r="E138" s="308">
        <f>D138*sõiduk_buss_linnaliin_Tallinn_2027/1000</f>
        <v>0</v>
      </c>
      <c r="F138" s="95"/>
    </row>
    <row r="139" spans="2:14" ht="14.85" customHeight="1" x14ac:dyDescent="0.25">
      <c r="B139" s="104"/>
      <c r="C139" s="85" t="s">
        <v>155</v>
      </c>
      <c r="D139" s="95"/>
      <c r="E139" s="308">
        <f>D139*sõiduk_buss_linnaliin_Eesti_2027/1000</f>
        <v>0</v>
      </c>
      <c r="F139" s="95"/>
    </row>
    <row r="140" spans="2:14" ht="14.85" customHeight="1" x14ac:dyDescent="0.25">
      <c r="B140" s="104"/>
      <c r="C140" s="85" t="s">
        <v>156</v>
      </c>
      <c r="D140" s="95"/>
      <c r="E140" s="308">
        <f>D140*sõiduk_diiselrong_2027/1000</f>
        <v>0</v>
      </c>
      <c r="F140" s="95"/>
    </row>
    <row r="141" spans="2:14" ht="14.85" customHeight="1" x14ac:dyDescent="0.25">
      <c r="B141" s="104"/>
      <c r="C141" s="85" t="s">
        <v>157</v>
      </c>
      <c r="D141" s="95"/>
      <c r="E141" s="308">
        <f>D141*sõiduk_elektrirong/1000</f>
        <v>0</v>
      </c>
      <c r="F141" s="95"/>
    </row>
    <row r="142" spans="2:14" ht="14.85" customHeight="1" x14ac:dyDescent="0.25">
      <c r="B142" s="104"/>
      <c r="C142" s="107" t="s">
        <v>158</v>
      </c>
      <c r="D142" s="95"/>
      <c r="E142" s="308">
        <f>D142*sõiduk_laev_2027/1000</f>
        <v>0</v>
      </c>
      <c r="F142" s="95"/>
      <c r="N142" s="49"/>
    </row>
    <row r="143" spans="2:14" ht="14.85" customHeight="1" thickBot="1" x14ac:dyDescent="0.3">
      <c r="B143" s="104"/>
      <c r="C143" s="100" t="s">
        <v>159</v>
      </c>
      <c r="D143" s="95"/>
      <c r="E143" s="308">
        <f>D143*sõiduk_lennuk_2027/1000</f>
        <v>0</v>
      </c>
      <c r="F143" s="95"/>
    </row>
    <row r="144" spans="2:14" ht="14.85" customHeight="1" thickBot="1" x14ac:dyDescent="0.3">
      <c r="B144" s="158"/>
      <c r="C144" s="325" t="s">
        <v>160</v>
      </c>
      <c r="D144" s="329"/>
      <c r="E144" s="660">
        <f>SUM(E128:E135,E137:E143,F128:F135,F137:F143)</f>
        <v>0</v>
      </c>
      <c r="F144" s="661"/>
    </row>
    <row r="145" spans="2:6" ht="14.85" customHeight="1" x14ac:dyDescent="0.25">
      <c r="C145"/>
      <c r="D145"/>
      <c r="E145"/>
      <c r="F145"/>
    </row>
    <row r="146" spans="2:6" ht="14.85" customHeight="1" thickBot="1" x14ac:dyDescent="0.3">
      <c r="C146"/>
      <c r="D146"/>
      <c r="E146"/>
      <c r="F146"/>
    </row>
    <row r="147" spans="2:6" ht="14.85" customHeight="1" x14ac:dyDescent="0.25">
      <c r="B147" s="613" t="s">
        <v>21</v>
      </c>
      <c r="C147" s="613" t="s">
        <v>22</v>
      </c>
      <c r="D147" s="647" t="s">
        <v>137</v>
      </c>
      <c r="E147" s="653" t="s">
        <v>138</v>
      </c>
      <c r="F147" s="647" t="s">
        <v>139</v>
      </c>
    </row>
    <row r="148" spans="2:6" ht="14.85" customHeight="1" x14ac:dyDescent="0.25">
      <c r="B148" s="614"/>
      <c r="C148" s="614"/>
      <c r="D148" s="659"/>
      <c r="E148" s="654"/>
      <c r="F148" s="659"/>
    </row>
    <row r="149" spans="2:6" ht="14.85" customHeight="1" thickBot="1" x14ac:dyDescent="0.3">
      <c r="B149" s="615"/>
      <c r="C149" s="615"/>
      <c r="D149" s="648"/>
      <c r="E149" s="655"/>
      <c r="F149" s="648"/>
    </row>
    <row r="150" spans="2:6" ht="14.85" customHeight="1" x14ac:dyDescent="0.25">
      <c r="B150" s="108">
        <f>ÜLDANDMED!I10</f>
        <v>2028</v>
      </c>
      <c r="C150" s="93" t="s">
        <v>140</v>
      </c>
      <c r="D150" s="83" t="s">
        <v>141</v>
      </c>
      <c r="E150" s="201" t="s">
        <v>142</v>
      </c>
      <c r="F150" s="305" t="s">
        <v>142</v>
      </c>
    </row>
    <row r="151" spans="2:6" ht="14.85" customHeight="1" x14ac:dyDescent="0.25">
      <c r="B151" s="102"/>
      <c r="C151" s="100" t="s">
        <v>143</v>
      </c>
      <c r="D151" s="96"/>
      <c r="E151" s="308">
        <f>D151*sõiduauto_bensiin_2028/1000</f>
        <v>0</v>
      </c>
      <c r="F151" s="328"/>
    </row>
    <row r="152" spans="2:6" ht="14.85" customHeight="1" x14ac:dyDescent="0.25">
      <c r="B152" s="102"/>
      <c r="C152" s="100" t="s">
        <v>144</v>
      </c>
      <c r="D152" s="96"/>
      <c r="E152" s="308">
        <f>D152*sõiduauto_diisel_2028/1000</f>
        <v>0</v>
      </c>
      <c r="F152" s="330"/>
    </row>
    <row r="153" spans="2:6" ht="14.85" customHeight="1" x14ac:dyDescent="0.25">
      <c r="B153" s="102"/>
      <c r="C153" s="100" t="s">
        <v>145</v>
      </c>
      <c r="D153" s="109"/>
      <c r="E153" s="308">
        <f>D153*sõiduauto_bioCNG_2028/1000</f>
        <v>0</v>
      </c>
      <c r="F153" s="328"/>
    </row>
    <row r="154" spans="2:6" ht="14.85" customHeight="1" x14ac:dyDescent="0.25">
      <c r="B154" s="101"/>
      <c r="C154" s="317" t="s">
        <v>146</v>
      </c>
      <c r="D154" s="109"/>
      <c r="E154" s="308">
        <f>D154*sõiduauto_CNG_2028/1000</f>
        <v>0</v>
      </c>
      <c r="F154" s="109"/>
    </row>
    <row r="155" spans="2:6" ht="14.85" customHeight="1" x14ac:dyDescent="0.25">
      <c r="B155" s="102"/>
      <c r="C155" s="100" t="s">
        <v>147</v>
      </c>
      <c r="D155" s="109"/>
      <c r="E155" s="308">
        <f>D155*sõiduauto_hübriid_2028/1000</f>
        <v>0</v>
      </c>
      <c r="F155" s="328"/>
    </row>
    <row r="156" spans="2:6" ht="14.85" customHeight="1" x14ac:dyDescent="0.25">
      <c r="B156" s="102"/>
      <c r="C156" s="100" t="s">
        <v>148</v>
      </c>
      <c r="D156" s="109"/>
      <c r="E156" s="308">
        <f>D156*sõiduauto_taastuvelekter/1000</f>
        <v>0</v>
      </c>
      <c r="F156" s="328"/>
    </row>
    <row r="157" spans="2:6" ht="14.85" customHeight="1" x14ac:dyDescent="0.25">
      <c r="B157" s="102"/>
      <c r="C157" s="100" t="s">
        <v>149</v>
      </c>
      <c r="D157" s="109"/>
      <c r="E157" s="308">
        <f>D157*sõiduauto_tavaelekter_2028/1000</f>
        <v>0</v>
      </c>
      <c r="F157" s="328"/>
    </row>
    <row r="158" spans="2:6" ht="14.85" customHeight="1" thickBot="1" x14ac:dyDescent="0.3">
      <c r="B158" s="104"/>
      <c r="C158" s="85" t="s">
        <v>150</v>
      </c>
      <c r="D158" s="95"/>
      <c r="E158" s="309">
        <f>D158*sõiduk_takso_2028/1000</f>
        <v>0</v>
      </c>
      <c r="F158" s="410"/>
    </row>
    <row r="159" spans="2:6" ht="14.85" customHeight="1" x14ac:dyDescent="0.25">
      <c r="B159" s="104"/>
      <c r="C159" s="201" t="s">
        <v>151</v>
      </c>
      <c r="D159" s="83" t="s">
        <v>152</v>
      </c>
      <c r="E159" s="409" t="s">
        <v>142</v>
      </c>
      <c r="F159" s="305" t="s">
        <v>142</v>
      </c>
    </row>
    <row r="160" spans="2:6" ht="14.85" customHeight="1" x14ac:dyDescent="0.25">
      <c r="B160" s="104"/>
      <c r="C160" s="85" t="s">
        <v>153</v>
      </c>
      <c r="D160" s="95"/>
      <c r="E160" s="308">
        <f>D160*sõiduk_buss_kaugliin_2028/1000</f>
        <v>0</v>
      </c>
      <c r="F160" s="95"/>
    </row>
    <row r="161" spans="2:14" ht="14.85" customHeight="1" x14ac:dyDescent="0.25">
      <c r="B161" s="104"/>
      <c r="C161" s="85" t="s">
        <v>154</v>
      </c>
      <c r="D161" s="95"/>
      <c r="E161" s="308">
        <f>D161*sõiduk_buss_linnaliin_Tallinn_2028/1000</f>
        <v>0</v>
      </c>
      <c r="F161" s="95"/>
    </row>
    <row r="162" spans="2:14" ht="14.85" customHeight="1" x14ac:dyDescent="0.25">
      <c r="B162" s="94"/>
      <c r="C162" s="319" t="s">
        <v>155</v>
      </c>
      <c r="D162" s="95"/>
      <c r="E162" s="308">
        <f>D162*sõiduk_buss_linnaliin_Eesti_2028/1000</f>
        <v>0</v>
      </c>
      <c r="F162" s="95"/>
    </row>
    <row r="163" spans="2:14" ht="14.85" customHeight="1" x14ac:dyDescent="0.25">
      <c r="B163" s="104"/>
      <c r="C163" s="85" t="s">
        <v>156</v>
      </c>
      <c r="D163" s="95"/>
      <c r="E163" s="308">
        <f>D163*sõiduk_diiselrong_2028/1000</f>
        <v>0</v>
      </c>
      <c r="F163" s="95"/>
    </row>
    <row r="164" spans="2:14" ht="14.85" customHeight="1" x14ac:dyDescent="0.25">
      <c r="B164" s="104"/>
      <c r="C164" s="85" t="s">
        <v>157</v>
      </c>
      <c r="D164" s="95"/>
      <c r="E164" s="308">
        <f>D164*sõiduk_elektrirong/1000</f>
        <v>0</v>
      </c>
      <c r="F164" s="95"/>
    </row>
    <row r="165" spans="2:14" ht="14.85" customHeight="1" x14ac:dyDescent="0.25">
      <c r="B165" s="104"/>
      <c r="C165" s="107" t="s">
        <v>158</v>
      </c>
      <c r="D165" s="95"/>
      <c r="E165" s="308">
        <f>D165*sõiduk_laev_2028/1000</f>
        <v>0</v>
      </c>
      <c r="F165" s="95"/>
      <c r="N165" s="49"/>
    </row>
    <row r="166" spans="2:14" ht="14.85" customHeight="1" thickBot="1" x14ac:dyDescent="0.3">
      <c r="B166" s="104"/>
      <c r="C166" s="100" t="s">
        <v>159</v>
      </c>
      <c r="D166" s="95"/>
      <c r="E166" s="308">
        <f>D166*sõiduk_lennuk_2028/1000</f>
        <v>0</v>
      </c>
      <c r="F166" s="95"/>
    </row>
    <row r="167" spans="2:14" ht="14.85" customHeight="1" thickBot="1" x14ac:dyDescent="0.3">
      <c r="B167" s="158"/>
      <c r="C167" s="325" t="s">
        <v>160</v>
      </c>
      <c r="D167" s="329"/>
      <c r="E167" s="660">
        <f>SUM(E151:E158,E160:E166,F151:F158,F160:F166)</f>
        <v>0</v>
      </c>
      <c r="F167" s="661"/>
    </row>
  </sheetData>
  <mergeCells count="43">
    <mergeCell ref="B3:F3"/>
    <mergeCell ref="E167:F167"/>
    <mergeCell ref="E52:F52"/>
    <mergeCell ref="E75:F75"/>
    <mergeCell ref="E98:F98"/>
    <mergeCell ref="E121:F121"/>
    <mergeCell ref="E144:F144"/>
    <mergeCell ref="B147:B149"/>
    <mergeCell ref="C147:C149"/>
    <mergeCell ref="D147:D149"/>
    <mergeCell ref="E147:E149"/>
    <mergeCell ref="F147:F149"/>
    <mergeCell ref="B124:B126"/>
    <mergeCell ref="C124:C126"/>
    <mergeCell ref="D124:D126"/>
    <mergeCell ref="E124:E126"/>
    <mergeCell ref="F124:F126"/>
    <mergeCell ref="B101:B103"/>
    <mergeCell ref="C101:C103"/>
    <mergeCell ref="D101:D103"/>
    <mergeCell ref="E101:E103"/>
    <mergeCell ref="F101:F103"/>
    <mergeCell ref="B78:B80"/>
    <mergeCell ref="C78:C80"/>
    <mergeCell ref="D78:D80"/>
    <mergeCell ref="E78:E80"/>
    <mergeCell ref="F78:F80"/>
    <mergeCell ref="B55:B57"/>
    <mergeCell ref="C55:C57"/>
    <mergeCell ref="D55:D57"/>
    <mergeCell ref="E55:E57"/>
    <mergeCell ref="F55:F57"/>
    <mergeCell ref="F9:F11"/>
    <mergeCell ref="E29:F29"/>
    <mergeCell ref="E9:E11"/>
    <mergeCell ref="B32:B34"/>
    <mergeCell ref="C32:C34"/>
    <mergeCell ref="D32:D34"/>
    <mergeCell ref="E32:E34"/>
    <mergeCell ref="F32:F34"/>
    <mergeCell ref="D9:D11"/>
    <mergeCell ref="C9:C11"/>
    <mergeCell ref="B9:B11"/>
  </mergeCells>
  <pageMargins left="0.70866141732283472" right="0.70866141732283472" top="0.74803149606299213" bottom="0.74803149606299213" header="0.31496062992125984" footer="0.31496062992125984"/>
  <pageSetup scale="78" fitToHeight="2"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DD6E-7569-4428-B8D7-32F52FA2B0DE}">
  <sheetPr>
    <tabColor rgb="FFF4B084"/>
    <pageSetUpPr fitToPage="1"/>
  </sheetPr>
  <dimension ref="A1:S189"/>
  <sheetViews>
    <sheetView showGridLines="0" zoomScaleNormal="100" workbookViewId="0">
      <pane xSplit="1" ySplit="1" topLeftCell="B2" activePane="bottomRight" state="frozen"/>
      <selection pane="topRight" activeCell="B1" sqref="B1"/>
      <selection pane="bottomLeft" activeCell="A3" sqref="A3"/>
      <selection pane="bottomRight" sqref="A1:XFD1"/>
    </sheetView>
  </sheetViews>
  <sheetFormatPr defaultRowHeight="14.85" customHeight="1" x14ac:dyDescent="0.25"/>
  <cols>
    <col min="1" max="1" width="2.5703125" customWidth="1"/>
    <col min="2" max="2" width="7.5703125" customWidth="1"/>
    <col min="3" max="3" width="46.42578125" style="3" customWidth="1"/>
    <col min="4" max="4" width="17" style="400" customWidth="1"/>
    <col min="5" max="5" width="14.5703125" style="63" customWidth="1"/>
    <col min="6" max="11" width="14.5703125" customWidth="1"/>
  </cols>
  <sheetData>
    <row r="1" spans="1:19" ht="18.600000000000001" customHeight="1" x14ac:dyDescent="0.35">
      <c r="B1" s="28" t="s">
        <v>161</v>
      </c>
      <c r="C1" s="157"/>
    </row>
    <row r="2" spans="1:19" ht="14.85" customHeight="1" x14ac:dyDescent="0.3">
      <c r="C2" s="98"/>
    </row>
    <row r="3" spans="1:19" ht="123" customHeight="1" x14ac:dyDescent="0.25">
      <c r="B3" s="569" t="s">
        <v>162</v>
      </c>
      <c r="C3" s="579"/>
      <c r="D3" s="579"/>
      <c r="E3" s="580"/>
    </row>
    <row r="4" spans="1:19" ht="14.85" customHeight="1" x14ac:dyDescent="0.25">
      <c r="B4" s="260"/>
      <c r="C4" s="260"/>
      <c r="D4" s="401"/>
      <c r="E4" s="322"/>
      <c r="F4" s="260"/>
      <c r="G4" s="260"/>
      <c r="H4" s="260"/>
      <c r="I4" s="260"/>
      <c r="J4" s="260"/>
      <c r="K4" s="260"/>
    </row>
    <row r="5" spans="1:19" ht="14.85" customHeight="1" x14ac:dyDescent="0.25">
      <c r="B5" s="60" t="s">
        <v>163</v>
      </c>
      <c r="C5" s="99"/>
    </row>
    <row r="6" spans="1:19" ht="14.85" customHeight="1" x14ac:dyDescent="0.25">
      <c r="C6" s="166" t="s">
        <v>9</v>
      </c>
    </row>
    <row r="7" spans="1:19" ht="14.85" customHeight="1" x14ac:dyDescent="0.25">
      <c r="A7" s="1"/>
      <c r="C7" s="165" t="s">
        <v>10</v>
      </c>
      <c r="D7" s="402"/>
      <c r="E7" s="65"/>
      <c r="F7" s="3"/>
      <c r="G7" s="3"/>
      <c r="H7" s="3"/>
      <c r="I7" s="3"/>
      <c r="S7" s="66"/>
    </row>
    <row r="8" spans="1:19" ht="14.85" customHeight="1" thickBot="1" x14ac:dyDescent="0.3">
      <c r="B8" s="260"/>
      <c r="C8" s="260"/>
      <c r="D8" s="401"/>
      <c r="E8" s="322"/>
      <c r="F8" s="260"/>
      <c r="G8" s="260"/>
      <c r="H8" s="260"/>
      <c r="I8" s="260"/>
      <c r="J8" s="260"/>
      <c r="K8" s="260"/>
    </row>
    <row r="9" spans="1:19" ht="14.85" customHeight="1" x14ac:dyDescent="0.25">
      <c r="B9" s="613" t="s">
        <v>21</v>
      </c>
      <c r="C9" s="613" t="s">
        <v>22</v>
      </c>
      <c r="D9" s="662" t="s">
        <v>164</v>
      </c>
      <c r="E9" s="653" t="s">
        <v>165</v>
      </c>
    </row>
    <row r="10" spans="1:19" ht="27" customHeight="1" thickBot="1" x14ac:dyDescent="0.3">
      <c r="B10" s="615"/>
      <c r="C10" s="615"/>
      <c r="D10" s="663"/>
      <c r="E10" s="655"/>
    </row>
    <row r="11" spans="1:19" ht="14.85" customHeight="1" x14ac:dyDescent="0.25">
      <c r="B11" s="156">
        <f>ÜLDANDMED!C10</f>
        <v>2022</v>
      </c>
      <c r="C11" s="93" t="s">
        <v>166</v>
      </c>
      <c r="D11" s="403"/>
      <c r="E11" s="333"/>
    </row>
    <row r="12" spans="1:19" ht="14.85" customHeight="1" x14ac:dyDescent="0.25">
      <c r="B12" s="101"/>
      <c r="C12" s="100" t="s">
        <v>143</v>
      </c>
      <c r="D12" s="404"/>
      <c r="E12" s="308">
        <f>D12*sõiduauto_bensiin_2022/1000</f>
        <v>0</v>
      </c>
    </row>
    <row r="13" spans="1:19" ht="14.85" customHeight="1" x14ac:dyDescent="0.25">
      <c r="B13" s="101"/>
      <c r="C13" s="100" t="s">
        <v>144</v>
      </c>
      <c r="D13" s="404"/>
      <c r="E13" s="308">
        <f>D13*sõiduauto_diisel_2022/1000</f>
        <v>0</v>
      </c>
    </row>
    <row r="14" spans="1:19" ht="14.85" customHeight="1" x14ac:dyDescent="0.25">
      <c r="B14" s="101"/>
      <c r="C14" s="317" t="s">
        <v>145</v>
      </c>
      <c r="D14" s="404"/>
      <c r="E14" s="308">
        <f>D14*sõiduauto_bioCNG_2022/1000</f>
        <v>0</v>
      </c>
    </row>
    <row r="15" spans="1:19" ht="14.85" customHeight="1" x14ac:dyDescent="0.25">
      <c r="B15" s="101"/>
      <c r="C15" s="317" t="s">
        <v>146</v>
      </c>
      <c r="D15" s="404"/>
      <c r="E15" s="308">
        <f>D15*sõiduauto_CNG_2022/1000</f>
        <v>0</v>
      </c>
    </row>
    <row r="16" spans="1:19" ht="14.85" customHeight="1" x14ac:dyDescent="0.25">
      <c r="B16" s="101"/>
      <c r="C16" s="100" t="s">
        <v>147</v>
      </c>
      <c r="D16" s="404"/>
      <c r="E16" s="308">
        <f>D16*sõiduauto_hübriid_2022/1000</f>
        <v>0</v>
      </c>
    </row>
    <row r="17" spans="2:6" ht="14.85" customHeight="1" x14ac:dyDescent="0.25">
      <c r="B17" s="101"/>
      <c r="C17" s="100" t="s">
        <v>167</v>
      </c>
      <c r="D17" s="404"/>
      <c r="E17" s="308">
        <f>D17*sõiduauto_taastuvelekter/1000</f>
        <v>0</v>
      </c>
    </row>
    <row r="18" spans="2:6" ht="14.85" customHeight="1" x14ac:dyDescent="0.25">
      <c r="B18" s="101"/>
      <c r="C18" s="100" t="s">
        <v>168</v>
      </c>
      <c r="D18" s="404"/>
      <c r="E18" s="308">
        <f>D18*sõiduauto_tavaelekter_2022/1000</f>
        <v>0</v>
      </c>
    </row>
    <row r="19" spans="2:6" ht="14.85" customHeight="1" x14ac:dyDescent="0.25">
      <c r="B19" s="94"/>
      <c r="C19" s="85" t="s">
        <v>150</v>
      </c>
      <c r="D19" s="404"/>
      <c r="E19" s="308">
        <f>D19*sõiduk_takso_2022/1000</f>
        <v>0</v>
      </c>
    </row>
    <row r="20" spans="2:6" s="206" customFormat="1" ht="14.85" customHeight="1" x14ac:dyDescent="0.25">
      <c r="B20" s="94"/>
      <c r="C20" s="276" t="s">
        <v>169</v>
      </c>
      <c r="D20" s="405"/>
      <c r="E20" s="349"/>
    </row>
    <row r="21" spans="2:6" ht="14.85" customHeight="1" x14ac:dyDescent="0.25">
      <c r="B21" s="94"/>
      <c r="C21" s="85" t="s">
        <v>154</v>
      </c>
      <c r="D21" s="404"/>
      <c r="E21" s="308">
        <f>D21*sõiduk_buss_linnaliin_Tallinn_2022/1000</f>
        <v>0</v>
      </c>
      <c r="F21" s="49"/>
    </row>
    <row r="22" spans="2:6" ht="14.85" customHeight="1" x14ac:dyDescent="0.25">
      <c r="B22" s="94"/>
      <c r="C22" s="85" t="s">
        <v>155</v>
      </c>
      <c r="D22" s="404"/>
      <c r="E22" s="308">
        <f>D22*sõiduk_buss_linnaliin_Eesti_2022/1000</f>
        <v>0</v>
      </c>
      <c r="F22" s="49"/>
    </row>
    <row r="23" spans="2:6" ht="14.85" customHeight="1" x14ac:dyDescent="0.25">
      <c r="B23" s="94"/>
      <c r="C23" s="85" t="s">
        <v>170</v>
      </c>
      <c r="D23" s="404"/>
      <c r="E23" s="308">
        <f>D23*sõiduk_buss_maakondlik_2022/1000</f>
        <v>0</v>
      </c>
    </row>
    <row r="24" spans="2:6" ht="14.85" customHeight="1" x14ac:dyDescent="0.25">
      <c r="B24" s="94"/>
      <c r="C24" s="85" t="s">
        <v>171</v>
      </c>
      <c r="D24" s="404"/>
      <c r="E24" s="308">
        <f>D24*sõiduk_tramm/1000</f>
        <v>0</v>
      </c>
    </row>
    <row r="25" spans="2:6" ht="14.85" customHeight="1" x14ac:dyDescent="0.25">
      <c r="B25" s="94"/>
      <c r="C25" s="85" t="s">
        <v>156</v>
      </c>
      <c r="D25" s="404"/>
      <c r="E25" s="308">
        <f>D25*sõiduk_diiselrong_2022/1000</f>
        <v>0</v>
      </c>
    </row>
    <row r="26" spans="2:6" ht="14.85" customHeight="1" x14ac:dyDescent="0.25">
      <c r="B26" s="94"/>
      <c r="C26" s="85" t="s">
        <v>157</v>
      </c>
      <c r="D26" s="404"/>
      <c r="E26" s="308">
        <f>D26*sõiduk_elektrirong/1000</f>
        <v>0</v>
      </c>
    </row>
    <row r="27" spans="2:6" ht="14.85" customHeight="1" x14ac:dyDescent="0.25">
      <c r="B27" s="94"/>
      <c r="C27" s="112" t="s">
        <v>172</v>
      </c>
      <c r="D27" s="405"/>
      <c r="E27" s="349"/>
    </row>
    <row r="28" spans="2:6" ht="14.85" customHeight="1" x14ac:dyDescent="0.25">
      <c r="B28" s="94"/>
      <c r="C28" s="307" t="s">
        <v>173</v>
      </c>
      <c r="D28" s="404"/>
      <c r="E28" s="308">
        <f>D28*sõiduk_tavajalgratas/1000</f>
        <v>0</v>
      </c>
    </row>
    <row r="29" spans="2:6" ht="14.85" customHeight="1" x14ac:dyDescent="0.25">
      <c r="B29" s="94"/>
      <c r="C29" s="307" t="s">
        <v>174</v>
      </c>
      <c r="D29" s="404"/>
      <c r="E29" s="308">
        <f>D29*sõiduk_taastuvelektriratas/1000</f>
        <v>0</v>
      </c>
    </row>
    <row r="30" spans="2:6" ht="14.85" customHeight="1" x14ac:dyDescent="0.25">
      <c r="B30" s="94"/>
      <c r="C30" s="100" t="s">
        <v>175</v>
      </c>
      <c r="D30" s="404"/>
      <c r="E30" s="308">
        <f>D30*sõiduk_tavaelektriratas_2022/1000</f>
        <v>0</v>
      </c>
    </row>
    <row r="31" spans="2:6" ht="14.85" customHeight="1" thickBot="1" x14ac:dyDescent="0.3">
      <c r="B31" s="104"/>
      <c r="C31" s="471" t="s">
        <v>176</v>
      </c>
      <c r="D31" s="469"/>
      <c r="E31" s="470">
        <f>D31*tööle_koju_jalgsi/1000</f>
        <v>0</v>
      </c>
    </row>
    <row r="32" spans="2:6" ht="14.85" customHeight="1" thickBot="1" x14ac:dyDescent="0.3">
      <c r="B32" s="158"/>
      <c r="C32" s="325" t="s">
        <v>177</v>
      </c>
      <c r="D32" s="406"/>
      <c r="E32" s="331">
        <f>SUM(E12:E31)</f>
        <v>0</v>
      </c>
    </row>
    <row r="33" spans="2:6" ht="14.85" customHeight="1" x14ac:dyDescent="0.25">
      <c r="B33" s="310"/>
      <c r="C33" s="323"/>
      <c r="D33" s="113"/>
      <c r="E33"/>
    </row>
    <row r="34" spans="2:6" ht="14.85" customHeight="1" thickBot="1" x14ac:dyDescent="0.3">
      <c r="B34" s="310"/>
      <c r="C34" s="323"/>
      <c r="D34" s="113"/>
      <c r="E34"/>
    </row>
    <row r="35" spans="2:6" ht="14.85" customHeight="1" x14ac:dyDescent="0.25">
      <c r="B35" s="613" t="s">
        <v>21</v>
      </c>
      <c r="C35" s="613" t="s">
        <v>22</v>
      </c>
      <c r="D35" s="662" t="s">
        <v>164</v>
      </c>
      <c r="E35" s="653" t="s">
        <v>165</v>
      </c>
    </row>
    <row r="36" spans="2:6" ht="25.5" customHeight="1" thickBot="1" x14ac:dyDescent="0.3">
      <c r="B36" s="615"/>
      <c r="C36" s="615"/>
      <c r="D36" s="663"/>
      <c r="E36" s="655"/>
    </row>
    <row r="37" spans="2:6" ht="14.85" customHeight="1" x14ac:dyDescent="0.25">
      <c r="B37" s="156">
        <f>ÜLDANDMED!D10</f>
        <v>2023</v>
      </c>
      <c r="C37" s="93" t="s">
        <v>166</v>
      </c>
      <c r="D37" s="403"/>
      <c r="E37" s="333"/>
    </row>
    <row r="38" spans="2:6" ht="14.85" customHeight="1" x14ac:dyDescent="0.25">
      <c r="B38" s="101"/>
      <c r="C38" s="100" t="s">
        <v>143</v>
      </c>
      <c r="D38" s="404"/>
      <c r="E38" s="308">
        <f>D38*sõiduauto_bensiin_2023/1000</f>
        <v>0</v>
      </c>
    </row>
    <row r="39" spans="2:6" ht="14.85" customHeight="1" x14ac:dyDescent="0.25">
      <c r="B39" s="101"/>
      <c r="C39" s="100" t="s">
        <v>144</v>
      </c>
      <c r="D39" s="404"/>
      <c r="E39" s="308">
        <f>D39*sõiduauto_diisel_2023/1000</f>
        <v>0</v>
      </c>
    </row>
    <row r="40" spans="2:6" ht="14.85" customHeight="1" x14ac:dyDescent="0.25">
      <c r="B40" s="101"/>
      <c r="C40" s="317" t="s">
        <v>145</v>
      </c>
      <c r="D40" s="404"/>
      <c r="E40" s="308">
        <f>D40*sõiduauto_bioCNG_2023/1000</f>
        <v>0</v>
      </c>
    </row>
    <row r="41" spans="2:6" ht="14.85" customHeight="1" x14ac:dyDescent="0.25">
      <c r="B41" s="101"/>
      <c r="C41" s="317" t="s">
        <v>146</v>
      </c>
      <c r="D41" s="404"/>
      <c r="E41" s="308">
        <f>D41*sõiduauto_CNG_2023/1000</f>
        <v>0</v>
      </c>
    </row>
    <row r="42" spans="2:6" ht="14.85" customHeight="1" x14ac:dyDescent="0.25">
      <c r="B42" s="101"/>
      <c r="C42" s="100" t="s">
        <v>147</v>
      </c>
      <c r="D42" s="404"/>
      <c r="E42" s="308">
        <f>D42*sõiduauto_hübriid_2023/1000</f>
        <v>0</v>
      </c>
    </row>
    <row r="43" spans="2:6" ht="14.85" customHeight="1" x14ac:dyDescent="0.25">
      <c r="B43" s="101"/>
      <c r="C43" s="100" t="s">
        <v>167</v>
      </c>
      <c r="D43" s="404"/>
      <c r="E43" s="308">
        <f>D43*sõiduauto_taastuvelekter/1000</f>
        <v>0</v>
      </c>
    </row>
    <row r="44" spans="2:6" ht="14.85" customHeight="1" x14ac:dyDescent="0.25">
      <c r="B44" s="101"/>
      <c r="C44" s="100" t="s">
        <v>168</v>
      </c>
      <c r="D44" s="404"/>
      <c r="E44" s="308">
        <f>D44*sõiduauto_tavaelekter_2023/1000</f>
        <v>0</v>
      </c>
    </row>
    <row r="45" spans="2:6" ht="14.85" customHeight="1" x14ac:dyDescent="0.25">
      <c r="B45" s="94"/>
      <c r="C45" s="85" t="s">
        <v>150</v>
      </c>
      <c r="D45" s="404"/>
      <c r="E45" s="308">
        <f>D45*sõiduk_takso_2023/1000</f>
        <v>0</v>
      </c>
    </row>
    <row r="46" spans="2:6" s="206" customFormat="1" ht="14.85" customHeight="1" x14ac:dyDescent="0.25">
      <c r="B46" s="94"/>
      <c r="C46" s="276" t="s">
        <v>169</v>
      </c>
      <c r="D46" s="405"/>
      <c r="E46" s="349"/>
    </row>
    <row r="47" spans="2:6" ht="14.85" customHeight="1" x14ac:dyDescent="0.25">
      <c r="B47" s="94"/>
      <c r="C47" s="85" t="s">
        <v>154</v>
      </c>
      <c r="D47" s="404"/>
      <c r="E47" s="308">
        <f>D47*sõiduk_buss_linnaliin_Tallinn_2023/1000</f>
        <v>0</v>
      </c>
    </row>
    <row r="48" spans="2:6" ht="14.85" customHeight="1" x14ac:dyDescent="0.25">
      <c r="B48" s="94"/>
      <c r="C48" s="85" t="s">
        <v>155</v>
      </c>
      <c r="D48" s="404"/>
      <c r="E48" s="308">
        <f>D48*sõiduk_buss_linnaliin_Eesti_2023/1000</f>
        <v>0</v>
      </c>
      <c r="F48" s="49"/>
    </row>
    <row r="49" spans="2:5" ht="14.85" customHeight="1" x14ac:dyDescent="0.25">
      <c r="B49" s="94"/>
      <c r="C49" s="85" t="s">
        <v>170</v>
      </c>
      <c r="D49" s="404"/>
      <c r="E49" s="308">
        <f>D49*sõiduk_buss_maakondlik_2023/1000</f>
        <v>0</v>
      </c>
    </row>
    <row r="50" spans="2:5" ht="14.85" customHeight="1" x14ac:dyDescent="0.25">
      <c r="B50" s="94"/>
      <c r="C50" s="85" t="s">
        <v>171</v>
      </c>
      <c r="D50" s="404"/>
      <c r="E50" s="308">
        <f>D50*sõiduk_tramm/1000</f>
        <v>0</v>
      </c>
    </row>
    <row r="51" spans="2:5" ht="14.85" customHeight="1" x14ac:dyDescent="0.25">
      <c r="B51" s="94"/>
      <c r="C51" s="85" t="s">
        <v>156</v>
      </c>
      <c r="D51" s="404"/>
      <c r="E51" s="308">
        <f>D51*sõiduk_diiselrong_2023/1000</f>
        <v>0</v>
      </c>
    </row>
    <row r="52" spans="2:5" ht="14.85" customHeight="1" x14ac:dyDescent="0.25">
      <c r="B52" s="94"/>
      <c r="C52" s="85" t="s">
        <v>157</v>
      </c>
      <c r="D52" s="404"/>
      <c r="E52" s="308">
        <f>D52*sõiduk_elektrirong/1000</f>
        <v>0</v>
      </c>
    </row>
    <row r="53" spans="2:5" ht="14.85" customHeight="1" x14ac:dyDescent="0.25">
      <c r="B53" s="94"/>
      <c r="C53" s="112" t="s">
        <v>172</v>
      </c>
      <c r="D53" s="405"/>
      <c r="E53" s="349"/>
    </row>
    <row r="54" spans="2:5" ht="14.85" customHeight="1" x14ac:dyDescent="0.25">
      <c r="B54" s="94"/>
      <c r="C54" s="307" t="s">
        <v>173</v>
      </c>
      <c r="D54" s="404"/>
      <c r="E54" s="308">
        <f>D54*sõiduk_tavajalgratas/1000</f>
        <v>0</v>
      </c>
    </row>
    <row r="55" spans="2:5" ht="14.85" customHeight="1" x14ac:dyDescent="0.25">
      <c r="B55" s="94"/>
      <c r="C55" s="307" t="s">
        <v>174</v>
      </c>
      <c r="D55" s="404"/>
      <c r="E55" s="308">
        <f>D55*sõiduk_taastuvelektriratas/1000</f>
        <v>0</v>
      </c>
    </row>
    <row r="56" spans="2:5" ht="14.85" customHeight="1" x14ac:dyDescent="0.25">
      <c r="B56" s="94"/>
      <c r="C56" s="100" t="s">
        <v>175</v>
      </c>
      <c r="D56" s="404"/>
      <c r="E56" s="308">
        <f>D56*sõiduk_tavaelektriratas_2023/1000</f>
        <v>0</v>
      </c>
    </row>
    <row r="57" spans="2:5" ht="14.85" customHeight="1" thickBot="1" x14ac:dyDescent="0.3">
      <c r="B57" s="104"/>
      <c r="C57" s="471" t="s">
        <v>176</v>
      </c>
      <c r="D57" s="469"/>
      <c r="E57" s="470">
        <f>D57*tööle_koju_jalgsi/1000</f>
        <v>0</v>
      </c>
    </row>
    <row r="58" spans="2:5" ht="14.85" customHeight="1" thickBot="1" x14ac:dyDescent="0.3">
      <c r="B58" s="158"/>
      <c r="C58" s="325" t="s">
        <v>177</v>
      </c>
      <c r="D58" s="406"/>
      <c r="E58" s="331">
        <f>SUM(E38:E57)</f>
        <v>0</v>
      </c>
    </row>
    <row r="59" spans="2:5" ht="14.85" customHeight="1" x14ac:dyDescent="0.25">
      <c r="B59" s="310"/>
      <c r="C59" s="323"/>
      <c r="D59" s="113"/>
      <c r="E59"/>
    </row>
    <row r="60" spans="2:5" ht="14.85" customHeight="1" thickBot="1" x14ac:dyDescent="0.3">
      <c r="B60" s="310"/>
      <c r="C60" s="323"/>
      <c r="D60" s="113"/>
      <c r="E60"/>
    </row>
    <row r="61" spans="2:5" ht="14.85" customHeight="1" x14ac:dyDescent="0.25">
      <c r="B61" s="613" t="s">
        <v>21</v>
      </c>
      <c r="C61" s="613" t="s">
        <v>22</v>
      </c>
      <c r="D61" s="662" t="s">
        <v>164</v>
      </c>
      <c r="E61" s="653" t="s">
        <v>165</v>
      </c>
    </row>
    <row r="62" spans="2:5" ht="27" customHeight="1" thickBot="1" x14ac:dyDescent="0.3">
      <c r="B62" s="615"/>
      <c r="C62" s="615"/>
      <c r="D62" s="663"/>
      <c r="E62" s="655"/>
    </row>
    <row r="63" spans="2:5" ht="14.85" customHeight="1" x14ac:dyDescent="0.25">
      <c r="B63" s="156">
        <f>ÜLDANDMED!E10</f>
        <v>2024</v>
      </c>
      <c r="C63" s="93" t="s">
        <v>166</v>
      </c>
      <c r="D63" s="403"/>
      <c r="E63" s="333"/>
    </row>
    <row r="64" spans="2:5" ht="14.85" customHeight="1" x14ac:dyDescent="0.25">
      <c r="B64" s="101"/>
      <c r="C64" s="100" t="s">
        <v>143</v>
      </c>
      <c r="D64" s="404"/>
      <c r="E64" s="308">
        <f>D64*sõiduauto_bensiin_2024/1000</f>
        <v>0</v>
      </c>
    </row>
    <row r="65" spans="2:6" ht="14.85" customHeight="1" x14ac:dyDescent="0.25">
      <c r="B65" s="101"/>
      <c r="C65" s="100" t="s">
        <v>144</v>
      </c>
      <c r="D65" s="404"/>
      <c r="E65" s="308">
        <f>D65*sõiduauto_diisel_2024/1000</f>
        <v>0</v>
      </c>
    </row>
    <row r="66" spans="2:6" ht="14.85" customHeight="1" x14ac:dyDescent="0.25">
      <c r="B66" s="101"/>
      <c r="C66" s="317" t="s">
        <v>145</v>
      </c>
      <c r="D66" s="404"/>
      <c r="E66" s="308">
        <f>D66*sõiduauto_bioCNG_2024/1000</f>
        <v>0</v>
      </c>
    </row>
    <row r="67" spans="2:6" ht="14.85" customHeight="1" x14ac:dyDescent="0.25">
      <c r="B67" s="101"/>
      <c r="C67" s="317" t="s">
        <v>146</v>
      </c>
      <c r="D67" s="404"/>
      <c r="E67" s="308">
        <f>D67*sõiduauto_CNG_2024/1000</f>
        <v>0</v>
      </c>
    </row>
    <row r="68" spans="2:6" ht="14.85" customHeight="1" x14ac:dyDescent="0.25">
      <c r="B68" s="101"/>
      <c r="C68" s="100" t="s">
        <v>147</v>
      </c>
      <c r="D68" s="404"/>
      <c r="E68" s="308">
        <f>D68*sõiduauto_hübriid_2024/1000</f>
        <v>0</v>
      </c>
    </row>
    <row r="69" spans="2:6" ht="14.85" customHeight="1" x14ac:dyDescent="0.25">
      <c r="B69" s="101"/>
      <c r="C69" s="100" t="s">
        <v>167</v>
      </c>
      <c r="D69" s="404"/>
      <c r="E69" s="308">
        <f>D69*sõiduauto_taastuvelekter/1000</f>
        <v>0</v>
      </c>
    </row>
    <row r="70" spans="2:6" ht="14.85" customHeight="1" x14ac:dyDescent="0.25">
      <c r="B70" s="101"/>
      <c r="C70" s="100" t="s">
        <v>168</v>
      </c>
      <c r="D70" s="404"/>
      <c r="E70" s="308">
        <f>D70*sõiduauto_tavaelekter_2024/1000</f>
        <v>0</v>
      </c>
    </row>
    <row r="71" spans="2:6" ht="14.85" customHeight="1" x14ac:dyDescent="0.25">
      <c r="B71" s="94"/>
      <c r="C71" s="85" t="s">
        <v>150</v>
      </c>
      <c r="D71" s="404"/>
      <c r="E71" s="308">
        <f>D71*sõiduk_takso_2024/1000</f>
        <v>0</v>
      </c>
    </row>
    <row r="72" spans="2:6" s="206" customFormat="1" ht="14.85" customHeight="1" x14ac:dyDescent="0.25">
      <c r="B72" s="94"/>
      <c r="C72" s="276" t="s">
        <v>169</v>
      </c>
      <c r="D72" s="405"/>
      <c r="E72" s="349"/>
    </row>
    <row r="73" spans="2:6" ht="14.85" customHeight="1" x14ac:dyDescent="0.25">
      <c r="B73" s="94"/>
      <c r="C73" s="85" t="s">
        <v>154</v>
      </c>
      <c r="D73" s="404"/>
      <c r="E73" s="308">
        <f>D73*sõiduk_buss_linnaliin_Tallinn_2024/1000</f>
        <v>0</v>
      </c>
    </row>
    <row r="74" spans="2:6" ht="14.85" customHeight="1" x14ac:dyDescent="0.25">
      <c r="B74" s="94"/>
      <c r="C74" s="85" t="s">
        <v>155</v>
      </c>
      <c r="D74" s="404"/>
      <c r="E74" s="308">
        <f>D74*sõiduk_buss_linnaliin_Eesti_2024/1000</f>
        <v>0</v>
      </c>
      <c r="F74" s="49"/>
    </row>
    <row r="75" spans="2:6" ht="14.85" customHeight="1" x14ac:dyDescent="0.25">
      <c r="B75" s="94"/>
      <c r="C75" s="85" t="s">
        <v>170</v>
      </c>
      <c r="D75" s="404"/>
      <c r="E75" s="308">
        <f>D75*sõiduk_buss_maakondlik_2024/1000</f>
        <v>0</v>
      </c>
    </row>
    <row r="76" spans="2:6" ht="14.85" customHeight="1" x14ac:dyDescent="0.25">
      <c r="B76" s="94"/>
      <c r="C76" s="85" t="s">
        <v>171</v>
      </c>
      <c r="D76" s="404"/>
      <c r="E76" s="308">
        <f>D76*sõiduk_tramm/1000</f>
        <v>0</v>
      </c>
    </row>
    <row r="77" spans="2:6" ht="14.85" customHeight="1" x14ac:dyDescent="0.25">
      <c r="B77" s="94"/>
      <c r="C77" s="85" t="s">
        <v>156</v>
      </c>
      <c r="D77" s="404"/>
      <c r="E77" s="308">
        <f>D77*sõiduk_diiselrong_2024/1000</f>
        <v>0</v>
      </c>
    </row>
    <row r="78" spans="2:6" ht="14.85" customHeight="1" x14ac:dyDescent="0.25">
      <c r="B78" s="94"/>
      <c r="C78" s="85" t="s">
        <v>157</v>
      </c>
      <c r="D78" s="404"/>
      <c r="E78" s="308">
        <f>D78*sõiduk_elektrirong/1000</f>
        <v>0</v>
      </c>
    </row>
    <row r="79" spans="2:6" ht="14.85" customHeight="1" x14ac:dyDescent="0.25">
      <c r="B79" s="94"/>
      <c r="C79" s="112" t="s">
        <v>172</v>
      </c>
      <c r="D79" s="405"/>
      <c r="E79" s="349"/>
    </row>
    <row r="80" spans="2:6" ht="14.85" customHeight="1" x14ac:dyDescent="0.25">
      <c r="B80" s="94"/>
      <c r="C80" s="307" t="s">
        <v>173</v>
      </c>
      <c r="D80" s="404"/>
      <c r="E80" s="308">
        <f>D80*sõiduk_tavajalgratas/1000</f>
        <v>0</v>
      </c>
    </row>
    <row r="81" spans="2:5" ht="14.85" customHeight="1" x14ac:dyDescent="0.25">
      <c r="B81" s="94"/>
      <c r="C81" s="307" t="s">
        <v>174</v>
      </c>
      <c r="D81" s="404"/>
      <c r="E81" s="308">
        <f>D81*sõiduk_taastuvelektriratas/1000</f>
        <v>0</v>
      </c>
    </row>
    <row r="82" spans="2:5" ht="14.85" customHeight="1" x14ac:dyDescent="0.25">
      <c r="B82" s="94"/>
      <c r="C82" s="100" t="s">
        <v>175</v>
      </c>
      <c r="D82" s="404"/>
      <c r="E82" s="308">
        <f>D82*sõiduk_tavaelektriratas_2024/1000</f>
        <v>0</v>
      </c>
    </row>
    <row r="83" spans="2:5" ht="14.85" customHeight="1" thickBot="1" x14ac:dyDescent="0.3">
      <c r="B83" s="104"/>
      <c r="C83" s="471" t="s">
        <v>176</v>
      </c>
      <c r="D83" s="469"/>
      <c r="E83" s="470">
        <f>D83*tööle_koju_jalgsi/1000</f>
        <v>0</v>
      </c>
    </row>
    <row r="84" spans="2:5" ht="14.85" customHeight="1" thickBot="1" x14ac:dyDescent="0.3">
      <c r="B84" s="158"/>
      <c r="C84" s="325" t="s">
        <v>177</v>
      </c>
      <c r="D84" s="406"/>
      <c r="E84" s="331">
        <f>SUM(E64:E83)</f>
        <v>0</v>
      </c>
    </row>
    <row r="85" spans="2:5" ht="14.85" customHeight="1" x14ac:dyDescent="0.25">
      <c r="B85" s="310"/>
      <c r="C85" s="323"/>
      <c r="D85" s="113"/>
      <c r="E85"/>
    </row>
    <row r="86" spans="2:5" ht="14.85" customHeight="1" thickBot="1" x14ac:dyDescent="0.3">
      <c r="C86"/>
      <c r="D86" s="113"/>
    </row>
    <row r="87" spans="2:5" ht="14.85" customHeight="1" x14ac:dyDescent="0.25">
      <c r="B87" s="613" t="s">
        <v>21</v>
      </c>
      <c r="C87" s="613" t="s">
        <v>22</v>
      </c>
      <c r="D87" s="662" t="s">
        <v>164</v>
      </c>
      <c r="E87" s="653" t="s">
        <v>165</v>
      </c>
    </row>
    <row r="88" spans="2:5" ht="27.6" customHeight="1" thickBot="1" x14ac:dyDescent="0.3">
      <c r="B88" s="615"/>
      <c r="C88" s="615"/>
      <c r="D88" s="663"/>
      <c r="E88" s="655"/>
    </row>
    <row r="89" spans="2:5" ht="14.85" customHeight="1" x14ac:dyDescent="0.25">
      <c r="B89" s="156">
        <f>ÜLDANDMED!F10</f>
        <v>2025</v>
      </c>
      <c r="C89" s="93" t="s">
        <v>166</v>
      </c>
      <c r="D89" s="403"/>
      <c r="E89" s="333"/>
    </row>
    <row r="90" spans="2:5" ht="14.85" customHeight="1" x14ac:dyDescent="0.25">
      <c r="B90" s="101"/>
      <c r="C90" s="100" t="s">
        <v>143</v>
      </c>
      <c r="D90" s="404"/>
      <c r="E90" s="308">
        <f>D90*sõiduauto_bensiin_2025/1000</f>
        <v>0</v>
      </c>
    </row>
    <row r="91" spans="2:5" ht="14.85" customHeight="1" x14ac:dyDescent="0.25">
      <c r="B91" s="101"/>
      <c r="C91" s="100" t="s">
        <v>144</v>
      </c>
      <c r="D91" s="404"/>
      <c r="E91" s="308">
        <f>D91*sõiduauto_diisel_2025/1000</f>
        <v>0</v>
      </c>
    </row>
    <row r="92" spans="2:5" ht="14.85" customHeight="1" x14ac:dyDescent="0.25">
      <c r="B92" s="101"/>
      <c r="C92" s="317" t="s">
        <v>145</v>
      </c>
      <c r="D92" s="404"/>
      <c r="E92" s="308">
        <f>D92*sõiduauto_bioCNG_2025/1000</f>
        <v>0</v>
      </c>
    </row>
    <row r="93" spans="2:5" ht="14.85" customHeight="1" x14ac:dyDescent="0.25">
      <c r="B93" s="101"/>
      <c r="C93" s="317" t="s">
        <v>146</v>
      </c>
      <c r="D93" s="404"/>
      <c r="E93" s="308">
        <f>D93*sõiduauto_CNG_2025/1000</f>
        <v>0</v>
      </c>
    </row>
    <row r="94" spans="2:5" ht="14.85" customHeight="1" x14ac:dyDescent="0.25">
      <c r="B94" s="101"/>
      <c r="C94" s="100" t="s">
        <v>147</v>
      </c>
      <c r="D94" s="404"/>
      <c r="E94" s="308">
        <f>D94*sõiduauto_hübriid_2025/1000</f>
        <v>0</v>
      </c>
    </row>
    <row r="95" spans="2:5" ht="14.85" customHeight="1" x14ac:dyDescent="0.25">
      <c r="B95" s="101"/>
      <c r="C95" s="100" t="s">
        <v>167</v>
      </c>
      <c r="D95" s="404"/>
      <c r="E95" s="308">
        <f>D95*sõiduauto_taastuvelekter/1000</f>
        <v>0</v>
      </c>
    </row>
    <row r="96" spans="2:5" ht="14.85" customHeight="1" x14ac:dyDescent="0.25">
      <c r="B96" s="101"/>
      <c r="C96" s="100" t="s">
        <v>168</v>
      </c>
      <c r="D96" s="404"/>
      <c r="E96" s="308">
        <f>D96*sõiduauto_tavaelekter_2025/1000</f>
        <v>0</v>
      </c>
    </row>
    <row r="97" spans="2:6" ht="14.85" customHeight="1" x14ac:dyDescent="0.25">
      <c r="B97" s="94"/>
      <c r="C97" s="85" t="s">
        <v>150</v>
      </c>
      <c r="D97" s="404"/>
      <c r="E97" s="308">
        <f>D97*sõiduk_takso_2025/1000</f>
        <v>0</v>
      </c>
    </row>
    <row r="98" spans="2:6" s="206" customFormat="1" ht="14.85" customHeight="1" x14ac:dyDescent="0.25">
      <c r="B98" s="94"/>
      <c r="C98" s="276" t="s">
        <v>169</v>
      </c>
      <c r="D98" s="405"/>
      <c r="E98" s="349"/>
    </row>
    <row r="99" spans="2:6" ht="14.85" customHeight="1" x14ac:dyDescent="0.25">
      <c r="B99" s="94"/>
      <c r="C99" s="85" t="s">
        <v>154</v>
      </c>
      <c r="D99" s="404"/>
      <c r="E99" s="308">
        <f>D99*sõiduk_buss_linnaliin_Tallinn_2025/1000</f>
        <v>0</v>
      </c>
    </row>
    <row r="100" spans="2:6" ht="14.85" customHeight="1" x14ac:dyDescent="0.25">
      <c r="B100" s="94"/>
      <c r="C100" s="85" t="s">
        <v>155</v>
      </c>
      <c r="D100" s="404"/>
      <c r="E100" s="308">
        <f>D100*sõiduk_buss_linnaliin_Eesti_2025/1000</f>
        <v>0</v>
      </c>
      <c r="F100" s="49"/>
    </row>
    <row r="101" spans="2:6" ht="14.85" customHeight="1" x14ac:dyDescent="0.25">
      <c r="B101" s="94"/>
      <c r="C101" s="85" t="s">
        <v>170</v>
      </c>
      <c r="D101" s="404"/>
      <c r="E101" s="308">
        <f>D101*sõiduk_buss_maakondlik_2025/1000</f>
        <v>0</v>
      </c>
    </row>
    <row r="102" spans="2:6" ht="14.85" customHeight="1" x14ac:dyDescent="0.25">
      <c r="B102" s="94"/>
      <c r="C102" s="85" t="s">
        <v>171</v>
      </c>
      <c r="D102" s="404"/>
      <c r="E102" s="308">
        <f>D102*sõiduk_tramm/1000</f>
        <v>0</v>
      </c>
    </row>
    <row r="103" spans="2:6" ht="14.85" customHeight="1" x14ac:dyDescent="0.25">
      <c r="B103" s="94"/>
      <c r="C103" s="85" t="s">
        <v>156</v>
      </c>
      <c r="D103" s="404"/>
      <c r="E103" s="308">
        <f>D103*sõiduk_diiselrong_2025/1000</f>
        <v>0</v>
      </c>
    </row>
    <row r="104" spans="2:6" ht="14.85" customHeight="1" x14ac:dyDescent="0.25">
      <c r="B104" s="94"/>
      <c r="C104" s="85" t="s">
        <v>157</v>
      </c>
      <c r="D104" s="404"/>
      <c r="E104" s="308">
        <f>D104*sõiduk_elektrirong/1000</f>
        <v>0</v>
      </c>
    </row>
    <row r="105" spans="2:6" ht="14.85" customHeight="1" x14ac:dyDescent="0.25">
      <c r="B105" s="94"/>
      <c r="C105" s="112" t="s">
        <v>172</v>
      </c>
      <c r="D105" s="405"/>
      <c r="E105" s="349"/>
    </row>
    <row r="106" spans="2:6" ht="14.85" customHeight="1" x14ac:dyDescent="0.25">
      <c r="B106" s="94"/>
      <c r="C106" s="307" t="s">
        <v>173</v>
      </c>
      <c r="D106" s="404"/>
      <c r="E106" s="308">
        <f>D106*sõiduk_tavajalgratas/1000</f>
        <v>0</v>
      </c>
    </row>
    <row r="107" spans="2:6" ht="14.85" customHeight="1" x14ac:dyDescent="0.25">
      <c r="B107" s="94"/>
      <c r="C107" s="307" t="s">
        <v>174</v>
      </c>
      <c r="D107" s="404"/>
      <c r="E107" s="308">
        <f>D107*sõiduk_taastuvelektriratas/1000</f>
        <v>0</v>
      </c>
    </row>
    <row r="108" spans="2:6" ht="14.85" customHeight="1" x14ac:dyDescent="0.25">
      <c r="B108" s="94"/>
      <c r="C108" s="100" t="s">
        <v>175</v>
      </c>
      <c r="D108" s="404"/>
      <c r="E108" s="308">
        <f>D108*sõiduk_tavaelektriratas_2025/1000</f>
        <v>0</v>
      </c>
    </row>
    <row r="109" spans="2:6" ht="14.85" customHeight="1" thickBot="1" x14ac:dyDescent="0.3">
      <c r="B109" s="104"/>
      <c r="C109" s="471" t="s">
        <v>176</v>
      </c>
      <c r="D109" s="469"/>
      <c r="E109" s="470">
        <f>D109*tööle_koju_jalgsi/1000</f>
        <v>0</v>
      </c>
    </row>
    <row r="110" spans="2:6" ht="14.85" customHeight="1" thickBot="1" x14ac:dyDescent="0.3">
      <c r="B110" s="158"/>
      <c r="C110" s="325" t="s">
        <v>177</v>
      </c>
      <c r="D110" s="406"/>
      <c r="E110" s="331">
        <f>SUM(E90:E109)</f>
        <v>0</v>
      </c>
    </row>
    <row r="111" spans="2:6" ht="14.85" customHeight="1" x14ac:dyDescent="0.25">
      <c r="B111" s="310"/>
      <c r="C111" s="323"/>
      <c r="D111" s="113"/>
      <c r="E111"/>
    </row>
    <row r="112" spans="2:6" ht="14.85" customHeight="1" thickBot="1" x14ac:dyDescent="0.3">
      <c r="B112" s="310"/>
      <c r="C112" s="323"/>
      <c r="D112" s="113"/>
      <c r="E112"/>
    </row>
    <row r="113" spans="2:6" ht="14.85" customHeight="1" x14ac:dyDescent="0.25">
      <c r="B113" s="613" t="s">
        <v>21</v>
      </c>
      <c r="C113" s="613" t="s">
        <v>22</v>
      </c>
      <c r="D113" s="662" t="s">
        <v>164</v>
      </c>
      <c r="E113" s="653" t="s">
        <v>165</v>
      </c>
    </row>
    <row r="114" spans="2:6" ht="24.6" customHeight="1" thickBot="1" x14ac:dyDescent="0.3">
      <c r="B114" s="615"/>
      <c r="C114" s="615"/>
      <c r="D114" s="663"/>
      <c r="E114" s="655"/>
    </row>
    <row r="115" spans="2:6" ht="14.85" customHeight="1" x14ac:dyDescent="0.25">
      <c r="B115" s="156">
        <f>ÜLDANDMED!G10</f>
        <v>2026</v>
      </c>
      <c r="C115" s="93" t="s">
        <v>166</v>
      </c>
      <c r="D115" s="403"/>
      <c r="E115" s="333"/>
    </row>
    <row r="116" spans="2:6" ht="14.85" customHeight="1" x14ac:dyDescent="0.25">
      <c r="B116" s="101"/>
      <c r="C116" s="100" t="s">
        <v>143</v>
      </c>
      <c r="D116" s="404"/>
      <c r="E116" s="308">
        <f>D116*sõiduauto_bensiin_2026/1000</f>
        <v>0</v>
      </c>
    </row>
    <row r="117" spans="2:6" ht="14.85" customHeight="1" x14ac:dyDescent="0.25">
      <c r="B117" s="101"/>
      <c r="C117" s="100" t="s">
        <v>144</v>
      </c>
      <c r="D117" s="404"/>
      <c r="E117" s="308">
        <f>D117*sõiduauto_diisel_2026/1000</f>
        <v>0</v>
      </c>
    </row>
    <row r="118" spans="2:6" ht="14.85" customHeight="1" x14ac:dyDescent="0.25">
      <c r="B118" s="101"/>
      <c r="C118" s="317" t="s">
        <v>145</v>
      </c>
      <c r="D118" s="404"/>
      <c r="E118" s="308">
        <f>D118*sõiduauto_bioCNG_2026/1000</f>
        <v>0</v>
      </c>
    </row>
    <row r="119" spans="2:6" ht="14.85" customHeight="1" x14ac:dyDescent="0.25">
      <c r="B119" s="101"/>
      <c r="C119" s="317" t="s">
        <v>146</v>
      </c>
      <c r="D119" s="404"/>
      <c r="E119" s="308">
        <f>D119*sõiduauto_CNG_2026/1000</f>
        <v>0</v>
      </c>
    </row>
    <row r="120" spans="2:6" ht="14.85" customHeight="1" x14ac:dyDescent="0.25">
      <c r="B120" s="101"/>
      <c r="C120" s="100" t="s">
        <v>147</v>
      </c>
      <c r="D120" s="404"/>
      <c r="E120" s="308">
        <f>D120*sõiduauto_hübriid_2026/1000</f>
        <v>0</v>
      </c>
    </row>
    <row r="121" spans="2:6" ht="14.85" customHeight="1" x14ac:dyDescent="0.25">
      <c r="B121" s="101"/>
      <c r="C121" s="100" t="s">
        <v>167</v>
      </c>
      <c r="D121" s="404"/>
      <c r="E121" s="308">
        <f>D121*sõiduauto_taastuvelekter/1000</f>
        <v>0</v>
      </c>
    </row>
    <row r="122" spans="2:6" ht="14.85" customHeight="1" x14ac:dyDescent="0.25">
      <c r="B122" s="101"/>
      <c r="C122" s="100" t="s">
        <v>168</v>
      </c>
      <c r="D122" s="404"/>
      <c r="E122" s="308">
        <f>D122*sõiduauto_tavaelekter_2026/1000</f>
        <v>0</v>
      </c>
    </row>
    <row r="123" spans="2:6" ht="14.85" customHeight="1" x14ac:dyDescent="0.25">
      <c r="B123" s="94"/>
      <c r="C123" s="85" t="s">
        <v>150</v>
      </c>
      <c r="D123" s="404"/>
      <c r="E123" s="308">
        <f>D123*sõiduk_takso_2026/1000</f>
        <v>0</v>
      </c>
    </row>
    <row r="124" spans="2:6" s="206" customFormat="1" ht="14.85" customHeight="1" x14ac:dyDescent="0.25">
      <c r="B124" s="94"/>
      <c r="C124" s="276" t="s">
        <v>169</v>
      </c>
      <c r="D124" s="405"/>
      <c r="E124" s="349"/>
    </row>
    <row r="125" spans="2:6" ht="14.85" customHeight="1" x14ac:dyDescent="0.25">
      <c r="B125" s="94"/>
      <c r="C125" s="85" t="s">
        <v>154</v>
      </c>
      <c r="D125" s="404"/>
      <c r="E125" s="308">
        <f>D125*sõiduk_buss_linnaliin_Tallinn_2026/1000</f>
        <v>0</v>
      </c>
    </row>
    <row r="126" spans="2:6" ht="14.85" customHeight="1" x14ac:dyDescent="0.25">
      <c r="B126" s="94"/>
      <c r="C126" s="85" t="s">
        <v>155</v>
      </c>
      <c r="D126" s="404"/>
      <c r="E126" s="308">
        <f>D126*sõiduk_buss_linnaliin_Eesti_2026/1000</f>
        <v>0</v>
      </c>
      <c r="F126" s="49"/>
    </row>
    <row r="127" spans="2:6" ht="14.85" customHeight="1" x14ac:dyDescent="0.25">
      <c r="B127" s="94"/>
      <c r="C127" s="85" t="s">
        <v>170</v>
      </c>
      <c r="D127" s="404"/>
      <c r="E127" s="308">
        <f>D127*sõiduk_buss_maakondlik_2026/1000</f>
        <v>0</v>
      </c>
    </row>
    <row r="128" spans="2:6" ht="14.85" customHeight="1" x14ac:dyDescent="0.25">
      <c r="B128" s="94"/>
      <c r="C128" s="85" t="s">
        <v>171</v>
      </c>
      <c r="D128" s="404"/>
      <c r="E128" s="308">
        <f>D128*sõiduk_tramm/1000</f>
        <v>0</v>
      </c>
    </row>
    <row r="129" spans="2:5" ht="14.85" customHeight="1" x14ac:dyDescent="0.25">
      <c r="B129" s="94"/>
      <c r="C129" s="85" t="s">
        <v>156</v>
      </c>
      <c r="D129" s="404"/>
      <c r="E129" s="308">
        <f>D129*sõiduk_diiselrong_2026/1000</f>
        <v>0</v>
      </c>
    </row>
    <row r="130" spans="2:5" ht="14.85" customHeight="1" x14ac:dyDescent="0.25">
      <c r="B130" s="94"/>
      <c r="C130" s="85" t="s">
        <v>157</v>
      </c>
      <c r="D130" s="404"/>
      <c r="E130" s="308">
        <f>D130*sõiduk_elektrirong/1000</f>
        <v>0</v>
      </c>
    </row>
    <row r="131" spans="2:5" ht="14.85" customHeight="1" x14ac:dyDescent="0.25">
      <c r="B131" s="94"/>
      <c r="C131" s="112" t="s">
        <v>172</v>
      </c>
      <c r="D131" s="405"/>
      <c r="E131" s="349"/>
    </row>
    <row r="132" spans="2:5" ht="14.85" customHeight="1" x14ac:dyDescent="0.25">
      <c r="B132" s="94"/>
      <c r="C132" s="307" t="s">
        <v>173</v>
      </c>
      <c r="D132" s="404"/>
      <c r="E132" s="308">
        <f>D132*sõiduk_tavajalgratas/1000</f>
        <v>0</v>
      </c>
    </row>
    <row r="133" spans="2:5" ht="14.85" customHeight="1" x14ac:dyDescent="0.25">
      <c r="B133" s="94"/>
      <c r="C133" s="307" t="s">
        <v>174</v>
      </c>
      <c r="D133" s="404"/>
      <c r="E133" s="308">
        <f>D133*sõiduk_taastuvelektriratas/1000</f>
        <v>0</v>
      </c>
    </row>
    <row r="134" spans="2:5" ht="14.85" customHeight="1" x14ac:dyDescent="0.25">
      <c r="B134" s="94"/>
      <c r="C134" s="100" t="s">
        <v>175</v>
      </c>
      <c r="D134" s="404"/>
      <c r="E134" s="308">
        <f>D134*sõiduk_tavaelektriratas_2026/1000</f>
        <v>0</v>
      </c>
    </row>
    <row r="135" spans="2:5" ht="14.85" customHeight="1" thickBot="1" x14ac:dyDescent="0.3">
      <c r="B135" s="104"/>
      <c r="C135" s="471" t="s">
        <v>176</v>
      </c>
      <c r="D135" s="469"/>
      <c r="E135" s="470">
        <f>D135*tööle_koju_jalgsi/1000</f>
        <v>0</v>
      </c>
    </row>
    <row r="136" spans="2:5" ht="14.85" customHeight="1" thickBot="1" x14ac:dyDescent="0.3">
      <c r="B136" s="158"/>
      <c r="C136" s="325" t="s">
        <v>177</v>
      </c>
      <c r="D136" s="406"/>
      <c r="E136" s="331">
        <f>SUM(E116:E135)</f>
        <v>0</v>
      </c>
    </row>
    <row r="137" spans="2:5" ht="14.85" customHeight="1" x14ac:dyDescent="0.25">
      <c r="B137" s="310"/>
      <c r="C137" s="323"/>
      <c r="D137" s="113"/>
      <c r="E137"/>
    </row>
    <row r="138" spans="2:5" ht="14.85" customHeight="1" thickBot="1" x14ac:dyDescent="0.3">
      <c r="B138" s="310"/>
      <c r="C138" s="323"/>
      <c r="D138" s="113"/>
      <c r="E138"/>
    </row>
    <row r="139" spans="2:5" ht="14.85" customHeight="1" x14ac:dyDescent="0.25">
      <c r="B139" s="613" t="s">
        <v>21</v>
      </c>
      <c r="C139" s="613" t="s">
        <v>22</v>
      </c>
      <c r="D139" s="662" t="s">
        <v>164</v>
      </c>
      <c r="E139" s="653" t="s">
        <v>165</v>
      </c>
    </row>
    <row r="140" spans="2:5" ht="35.85" customHeight="1" thickBot="1" x14ac:dyDescent="0.3">
      <c r="B140" s="615"/>
      <c r="C140" s="615"/>
      <c r="D140" s="663"/>
      <c r="E140" s="655"/>
    </row>
    <row r="141" spans="2:5" ht="14.85" customHeight="1" x14ac:dyDescent="0.25">
      <c r="B141" s="156">
        <f>ÜLDANDMED!H10</f>
        <v>2027</v>
      </c>
      <c r="C141" s="93" t="s">
        <v>166</v>
      </c>
      <c r="D141" s="403"/>
      <c r="E141" s="333"/>
    </row>
    <row r="142" spans="2:5" ht="14.85" customHeight="1" x14ac:dyDescent="0.25">
      <c r="B142" s="101"/>
      <c r="C142" s="100" t="s">
        <v>143</v>
      </c>
      <c r="D142" s="404"/>
      <c r="E142" s="308">
        <f>D142*sõiduauto_bensiin_2027/1000</f>
        <v>0</v>
      </c>
    </row>
    <row r="143" spans="2:5" ht="14.85" customHeight="1" x14ac:dyDescent="0.25">
      <c r="B143" s="101"/>
      <c r="C143" s="100" t="s">
        <v>144</v>
      </c>
      <c r="D143" s="404"/>
      <c r="E143" s="308">
        <f>D143*sõiduauto_diisel_2027/1000</f>
        <v>0</v>
      </c>
    </row>
    <row r="144" spans="2:5" ht="14.85" customHeight="1" x14ac:dyDescent="0.25">
      <c r="B144" s="101"/>
      <c r="C144" s="317" t="s">
        <v>145</v>
      </c>
      <c r="D144" s="404"/>
      <c r="E144" s="308">
        <f>D144*sõiduauto_bioCNG_2027/1000</f>
        <v>0</v>
      </c>
    </row>
    <row r="145" spans="2:6" ht="14.85" customHeight="1" x14ac:dyDescent="0.25">
      <c r="B145" s="101"/>
      <c r="C145" s="317" t="s">
        <v>146</v>
      </c>
      <c r="D145" s="404"/>
      <c r="E145" s="308">
        <f>D145*sõiduauto_CNG_2027/1000</f>
        <v>0</v>
      </c>
    </row>
    <row r="146" spans="2:6" ht="14.85" customHeight="1" x14ac:dyDescent="0.25">
      <c r="B146" s="101"/>
      <c r="C146" s="100" t="s">
        <v>147</v>
      </c>
      <c r="D146" s="404"/>
      <c r="E146" s="308">
        <f>D146*sõiduauto_hübriid_2027/1000</f>
        <v>0</v>
      </c>
    </row>
    <row r="147" spans="2:6" ht="14.85" customHeight="1" x14ac:dyDescent="0.25">
      <c r="B147" s="101"/>
      <c r="C147" s="100" t="s">
        <v>167</v>
      </c>
      <c r="D147" s="404"/>
      <c r="E147" s="308">
        <f>D147*sõiduauto_taastuvelekter/1000</f>
        <v>0</v>
      </c>
    </row>
    <row r="148" spans="2:6" ht="14.85" customHeight="1" x14ac:dyDescent="0.25">
      <c r="B148" s="101"/>
      <c r="C148" s="100" t="s">
        <v>168</v>
      </c>
      <c r="D148" s="404"/>
      <c r="E148" s="308">
        <f>D148*sõiduauto_tavaelekter_2027/1000</f>
        <v>0</v>
      </c>
    </row>
    <row r="149" spans="2:6" ht="14.85" customHeight="1" x14ac:dyDescent="0.25">
      <c r="B149" s="94"/>
      <c r="C149" s="85" t="s">
        <v>150</v>
      </c>
      <c r="D149" s="404"/>
      <c r="E149" s="308">
        <f>D149*sõiduk_takso_2027/1000</f>
        <v>0</v>
      </c>
    </row>
    <row r="150" spans="2:6" s="206" customFormat="1" ht="14.85" customHeight="1" x14ac:dyDescent="0.25">
      <c r="B150" s="94"/>
      <c r="C150" s="276" t="s">
        <v>169</v>
      </c>
      <c r="D150" s="405"/>
      <c r="E150" s="349"/>
    </row>
    <row r="151" spans="2:6" ht="14.85" customHeight="1" x14ac:dyDescent="0.25">
      <c r="B151" s="94"/>
      <c r="C151" s="85" t="s">
        <v>154</v>
      </c>
      <c r="D151" s="404"/>
      <c r="E151" s="308">
        <f>D151*sõiduk_buss_linnaliin_Tallinn_2027/1000</f>
        <v>0</v>
      </c>
    </row>
    <row r="152" spans="2:6" ht="14.85" customHeight="1" x14ac:dyDescent="0.25">
      <c r="B152" s="94"/>
      <c r="C152" s="85" t="s">
        <v>155</v>
      </c>
      <c r="D152" s="404"/>
      <c r="E152" s="308">
        <f>D152*sõiduk_buss_linnaliin_Eesti_2027/1000</f>
        <v>0</v>
      </c>
      <c r="F152" s="49"/>
    </row>
    <row r="153" spans="2:6" ht="14.85" customHeight="1" x14ac:dyDescent="0.25">
      <c r="B153" s="94"/>
      <c r="C153" s="85" t="s">
        <v>170</v>
      </c>
      <c r="D153" s="404"/>
      <c r="E153" s="308">
        <f>D153*sõiduk_buss_maakondlik_2027/1000</f>
        <v>0</v>
      </c>
    </row>
    <row r="154" spans="2:6" ht="14.85" customHeight="1" x14ac:dyDescent="0.25">
      <c r="B154" s="94"/>
      <c r="C154" s="85" t="s">
        <v>171</v>
      </c>
      <c r="D154" s="404"/>
      <c r="E154" s="308">
        <f>D154*sõiduk_tramm/1000</f>
        <v>0</v>
      </c>
    </row>
    <row r="155" spans="2:6" ht="14.85" customHeight="1" x14ac:dyDescent="0.25">
      <c r="B155" s="94"/>
      <c r="C155" s="85" t="s">
        <v>156</v>
      </c>
      <c r="D155" s="404"/>
      <c r="E155" s="308">
        <f>D155*sõiduk_diiselrong_2027/1000</f>
        <v>0</v>
      </c>
    </row>
    <row r="156" spans="2:6" ht="14.85" customHeight="1" x14ac:dyDescent="0.25">
      <c r="B156" s="94"/>
      <c r="C156" s="85" t="s">
        <v>157</v>
      </c>
      <c r="D156" s="404"/>
      <c r="E156" s="308">
        <f>D156*sõiduk_elektrirong/1000</f>
        <v>0</v>
      </c>
    </row>
    <row r="157" spans="2:6" ht="14.85" customHeight="1" x14ac:dyDescent="0.25">
      <c r="B157" s="94"/>
      <c r="C157" s="112" t="s">
        <v>172</v>
      </c>
      <c r="D157" s="405"/>
      <c r="E157" s="349"/>
    </row>
    <row r="158" spans="2:6" ht="14.85" customHeight="1" x14ac:dyDescent="0.25">
      <c r="B158" s="94"/>
      <c r="C158" s="307" t="s">
        <v>173</v>
      </c>
      <c r="D158" s="404"/>
      <c r="E158" s="308">
        <f>D158*sõiduk_tavajalgratas/1000</f>
        <v>0</v>
      </c>
    </row>
    <row r="159" spans="2:6" ht="14.85" customHeight="1" x14ac:dyDescent="0.25">
      <c r="B159" s="94"/>
      <c r="C159" s="307" t="s">
        <v>174</v>
      </c>
      <c r="D159" s="404"/>
      <c r="E159" s="308">
        <f>D159*sõiduk_taastuvelektriratas/1000</f>
        <v>0</v>
      </c>
    </row>
    <row r="160" spans="2:6" ht="14.85" customHeight="1" x14ac:dyDescent="0.25">
      <c r="B160" s="94"/>
      <c r="C160" s="100" t="s">
        <v>175</v>
      </c>
      <c r="D160" s="404"/>
      <c r="E160" s="308">
        <f>D160*sõiduk_tavaelektriratas_2027/1000</f>
        <v>0</v>
      </c>
    </row>
    <row r="161" spans="2:5" ht="14.85" customHeight="1" thickBot="1" x14ac:dyDescent="0.3">
      <c r="B161" s="104"/>
      <c r="C161" s="471" t="s">
        <v>176</v>
      </c>
      <c r="D161" s="469"/>
      <c r="E161" s="470">
        <f>D161*tööle_koju_jalgsi/1000</f>
        <v>0</v>
      </c>
    </row>
    <row r="162" spans="2:5" ht="14.85" customHeight="1" thickBot="1" x14ac:dyDescent="0.3">
      <c r="B162" s="158"/>
      <c r="C162" s="325" t="s">
        <v>177</v>
      </c>
      <c r="D162" s="406"/>
      <c r="E162" s="331">
        <f>SUM(E142:E161)</f>
        <v>0</v>
      </c>
    </row>
    <row r="163" spans="2:5" ht="14.85" customHeight="1" x14ac:dyDescent="0.25">
      <c r="B163" s="310"/>
      <c r="C163" s="323"/>
      <c r="D163" s="113"/>
      <c r="E163"/>
    </row>
    <row r="164" spans="2:5" ht="14.85" customHeight="1" thickBot="1" x14ac:dyDescent="0.3">
      <c r="B164" s="310"/>
      <c r="C164" s="323"/>
      <c r="D164" s="113"/>
      <c r="E164"/>
    </row>
    <row r="165" spans="2:5" ht="14.85" customHeight="1" x14ac:dyDescent="0.25">
      <c r="B165" s="613" t="s">
        <v>21</v>
      </c>
      <c r="C165" s="613" t="s">
        <v>22</v>
      </c>
      <c r="D165" s="662" t="s">
        <v>164</v>
      </c>
      <c r="E165" s="653" t="s">
        <v>165</v>
      </c>
    </row>
    <row r="166" spans="2:5" ht="32.85" customHeight="1" thickBot="1" x14ac:dyDescent="0.3">
      <c r="B166" s="615"/>
      <c r="C166" s="615"/>
      <c r="D166" s="663"/>
      <c r="E166" s="655"/>
    </row>
    <row r="167" spans="2:5" ht="14.85" customHeight="1" x14ac:dyDescent="0.25">
      <c r="B167" s="156">
        <f>ÜLDANDMED!I10</f>
        <v>2028</v>
      </c>
      <c r="C167" s="93" t="s">
        <v>166</v>
      </c>
      <c r="D167" s="403"/>
      <c r="E167" s="333"/>
    </row>
    <row r="168" spans="2:5" ht="14.85" customHeight="1" x14ac:dyDescent="0.25">
      <c r="B168" s="101"/>
      <c r="C168" s="100" t="s">
        <v>143</v>
      </c>
      <c r="D168" s="404"/>
      <c r="E168" s="308">
        <f>D168*sõiduauto_bensiin_2028/1000</f>
        <v>0</v>
      </c>
    </row>
    <row r="169" spans="2:5" ht="14.85" customHeight="1" x14ac:dyDescent="0.25">
      <c r="B169" s="101"/>
      <c r="C169" s="100" t="s">
        <v>144</v>
      </c>
      <c r="D169" s="404"/>
      <c r="E169" s="308">
        <f>D169*sõiduauto_diisel_2028/1000</f>
        <v>0</v>
      </c>
    </row>
    <row r="170" spans="2:5" ht="14.85" customHeight="1" x14ac:dyDescent="0.25">
      <c r="B170" s="101"/>
      <c r="C170" s="317" t="s">
        <v>145</v>
      </c>
      <c r="D170" s="404"/>
      <c r="E170" s="308">
        <f>D170*sõiduauto_bioCNG_2028/1000</f>
        <v>0</v>
      </c>
    </row>
    <row r="171" spans="2:5" ht="14.85" customHeight="1" x14ac:dyDescent="0.25">
      <c r="B171" s="101"/>
      <c r="C171" s="317" t="s">
        <v>146</v>
      </c>
      <c r="D171" s="404"/>
      <c r="E171" s="308">
        <f>D171*sõiduauto_CNG_2028/1000</f>
        <v>0</v>
      </c>
    </row>
    <row r="172" spans="2:5" ht="14.85" customHeight="1" x14ac:dyDescent="0.25">
      <c r="B172" s="101"/>
      <c r="C172" s="100" t="s">
        <v>147</v>
      </c>
      <c r="D172" s="404"/>
      <c r="E172" s="308">
        <f>D172*sõiduauto_hübriid_2028/1000</f>
        <v>0</v>
      </c>
    </row>
    <row r="173" spans="2:5" ht="14.85" customHeight="1" x14ac:dyDescent="0.25">
      <c r="B173" s="101"/>
      <c r="C173" s="100" t="s">
        <v>167</v>
      </c>
      <c r="D173" s="404"/>
      <c r="E173" s="308">
        <f>D173*sõiduauto_taastuvelekter/1000</f>
        <v>0</v>
      </c>
    </row>
    <row r="174" spans="2:5" ht="14.85" customHeight="1" x14ac:dyDescent="0.25">
      <c r="B174" s="101"/>
      <c r="C174" s="100" t="s">
        <v>168</v>
      </c>
      <c r="D174" s="404"/>
      <c r="E174" s="308">
        <f>D174*sõiduauto_tavaelekter_2028/1000</f>
        <v>0</v>
      </c>
    </row>
    <row r="175" spans="2:5" ht="14.85" customHeight="1" x14ac:dyDescent="0.25">
      <c r="B175" s="94"/>
      <c r="C175" s="85" t="s">
        <v>150</v>
      </c>
      <c r="D175" s="404"/>
      <c r="E175" s="308">
        <f>D175*sõiduk_takso_2028/1000</f>
        <v>0</v>
      </c>
    </row>
    <row r="176" spans="2:5" s="206" customFormat="1" ht="14.85" customHeight="1" x14ac:dyDescent="0.25">
      <c r="B176" s="94"/>
      <c r="C176" s="276" t="s">
        <v>169</v>
      </c>
      <c r="D176" s="405"/>
      <c r="E176" s="349"/>
    </row>
    <row r="177" spans="2:6" ht="14.85" customHeight="1" x14ac:dyDescent="0.25">
      <c r="B177" s="94"/>
      <c r="C177" s="85" t="s">
        <v>154</v>
      </c>
      <c r="D177" s="404"/>
      <c r="E177" s="308">
        <f>D177*sõiduk_buss_linnaliin_Tallinn_2028/1000</f>
        <v>0</v>
      </c>
    </row>
    <row r="178" spans="2:6" ht="14.85" customHeight="1" x14ac:dyDescent="0.25">
      <c r="B178" s="94"/>
      <c r="C178" s="85" t="s">
        <v>155</v>
      </c>
      <c r="D178" s="404"/>
      <c r="E178" s="308">
        <f>D178*sõiduk_buss_linnaliin_Eesti_2028/1000</f>
        <v>0</v>
      </c>
      <c r="F178" s="49"/>
    </row>
    <row r="179" spans="2:6" ht="14.85" customHeight="1" x14ac:dyDescent="0.25">
      <c r="B179" s="94"/>
      <c r="C179" s="85" t="s">
        <v>170</v>
      </c>
      <c r="D179" s="404"/>
      <c r="E179" s="308">
        <f>D179*sõiduk_buss_maakondlik_2028/1000</f>
        <v>0</v>
      </c>
    </row>
    <row r="180" spans="2:6" ht="14.85" customHeight="1" x14ac:dyDescent="0.25">
      <c r="B180" s="94"/>
      <c r="C180" s="85" t="s">
        <v>171</v>
      </c>
      <c r="D180" s="404"/>
      <c r="E180" s="308">
        <f>D180*sõiduk_tramm/1000</f>
        <v>0</v>
      </c>
    </row>
    <row r="181" spans="2:6" ht="14.85" customHeight="1" x14ac:dyDescent="0.25">
      <c r="B181" s="94"/>
      <c r="C181" s="85" t="s">
        <v>156</v>
      </c>
      <c r="D181" s="404"/>
      <c r="E181" s="308">
        <f>D181*sõiduk_diiselrong_2028/1000</f>
        <v>0</v>
      </c>
    </row>
    <row r="182" spans="2:6" ht="14.85" customHeight="1" x14ac:dyDescent="0.25">
      <c r="B182" s="94"/>
      <c r="C182" s="85" t="s">
        <v>157</v>
      </c>
      <c r="D182" s="404"/>
      <c r="E182" s="308">
        <f>D182*sõiduk_elektrirong/1000</f>
        <v>0</v>
      </c>
    </row>
    <row r="183" spans="2:6" ht="14.85" customHeight="1" x14ac:dyDescent="0.25">
      <c r="B183" s="94"/>
      <c r="C183" s="112" t="s">
        <v>172</v>
      </c>
      <c r="D183" s="405"/>
      <c r="E183" s="349"/>
    </row>
    <row r="184" spans="2:6" ht="14.85" customHeight="1" x14ac:dyDescent="0.25">
      <c r="B184" s="94"/>
      <c r="C184" s="307" t="s">
        <v>173</v>
      </c>
      <c r="D184" s="404"/>
      <c r="E184" s="308">
        <f>D184*sõiduk_tavajalgratas/1000</f>
        <v>0</v>
      </c>
    </row>
    <row r="185" spans="2:6" ht="14.85" customHeight="1" x14ac:dyDescent="0.25">
      <c r="B185" s="94"/>
      <c r="C185" s="307" t="s">
        <v>174</v>
      </c>
      <c r="D185" s="404"/>
      <c r="E185" s="308">
        <f>D185*sõiduk_taastuvelektriratas/1000</f>
        <v>0</v>
      </c>
    </row>
    <row r="186" spans="2:6" ht="14.85" customHeight="1" x14ac:dyDescent="0.25">
      <c r="B186" s="94"/>
      <c r="C186" s="100" t="s">
        <v>175</v>
      </c>
      <c r="D186" s="404"/>
      <c r="E186" s="308">
        <f>D186*sõiduk_tavaelektriratas_2028/1000</f>
        <v>0</v>
      </c>
    </row>
    <row r="187" spans="2:6" ht="14.85" customHeight="1" thickBot="1" x14ac:dyDescent="0.3">
      <c r="B187" s="104"/>
      <c r="C187" s="471" t="s">
        <v>176</v>
      </c>
      <c r="D187" s="469"/>
      <c r="E187" s="470">
        <f>D187*tööle_koju_jalgsi/1000</f>
        <v>0</v>
      </c>
    </row>
    <row r="188" spans="2:6" ht="14.85" customHeight="1" thickBot="1" x14ac:dyDescent="0.3">
      <c r="B188" s="158"/>
      <c r="C188" s="325" t="s">
        <v>177</v>
      </c>
      <c r="D188" s="406"/>
      <c r="E188" s="331">
        <f>SUM(E168:E187)</f>
        <v>0</v>
      </c>
    </row>
    <row r="189" spans="2:6" ht="14.85" customHeight="1" x14ac:dyDescent="0.25">
      <c r="C189"/>
      <c r="D189" s="113"/>
    </row>
  </sheetData>
  <mergeCells count="29">
    <mergeCell ref="B139:B140"/>
    <mergeCell ref="C139:C140"/>
    <mergeCell ref="D139:D140"/>
    <mergeCell ref="E139:E140"/>
    <mergeCell ref="B165:B166"/>
    <mergeCell ref="C165:C166"/>
    <mergeCell ref="D165:D166"/>
    <mergeCell ref="E165:E166"/>
    <mergeCell ref="E87:E88"/>
    <mergeCell ref="B113:B114"/>
    <mergeCell ref="C113:C114"/>
    <mergeCell ref="D113:D114"/>
    <mergeCell ref="E113:E114"/>
    <mergeCell ref="B87:B88"/>
    <mergeCell ref="C87:C88"/>
    <mergeCell ref="D87:D88"/>
    <mergeCell ref="B9:B10"/>
    <mergeCell ref="C9:C10"/>
    <mergeCell ref="D9:D10"/>
    <mergeCell ref="E9:E10"/>
    <mergeCell ref="B3:E3"/>
    <mergeCell ref="B35:B36"/>
    <mergeCell ref="C35:C36"/>
    <mergeCell ref="D35:D36"/>
    <mergeCell ref="E35:E36"/>
    <mergeCell ref="B61:B62"/>
    <mergeCell ref="C61:C62"/>
    <mergeCell ref="D61:D62"/>
    <mergeCell ref="E61:E62"/>
  </mergeCells>
  <dataValidations count="1">
    <dataValidation type="list" allowBlank="1" showInputMessage="1" showErrorMessage="1" sqref="K7" xr:uid="{124E6F50-0359-4667-BA0F-4AEF6C4A3BCD}">
      <formula1>$A$17:$A$23</formula1>
    </dataValidation>
  </dataValidations>
  <pageMargins left="0.70866141732283472" right="0.70866141732283472" top="0.74803149606299213" bottom="0.74803149606299213" header="0.31496062992125984" footer="0.31496062992125984"/>
  <pageSetup scale="75" fitToHeight="2"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CC45-1092-413F-87D3-4ED5C2B27B62}">
  <sheetPr>
    <tabColor rgb="FFF4B084"/>
    <pageSetUpPr fitToPage="1"/>
  </sheetPr>
  <dimension ref="B1:Q118"/>
  <sheetViews>
    <sheetView showGridLines="0" zoomScaleNormal="100" workbookViewId="0">
      <pane xSplit="1" ySplit="1" topLeftCell="B2" activePane="bottomRight" state="frozen"/>
      <selection pane="topRight" activeCell="B1" sqref="B1"/>
      <selection pane="bottomLeft" activeCell="A3" sqref="A3"/>
      <selection pane="bottomRight" activeCell="C16" sqref="C16"/>
    </sheetView>
  </sheetViews>
  <sheetFormatPr defaultColWidth="8.85546875" defaultRowHeight="14.85" customHeight="1" x14ac:dyDescent="0.25"/>
  <cols>
    <col min="1" max="1" width="2.5703125" customWidth="1"/>
    <col min="2" max="2" width="7.5703125" customWidth="1"/>
    <col min="3" max="3" width="43.5703125" style="3" bestFit="1" customWidth="1"/>
    <col min="4" max="4" width="17.42578125" style="3" bestFit="1" customWidth="1"/>
    <col min="5" max="5" width="15.5703125" style="3" customWidth="1"/>
    <col min="6" max="6" width="23.5703125" style="3" bestFit="1" customWidth="1"/>
    <col min="7" max="7" width="15.5703125" style="81" customWidth="1"/>
    <col min="8" max="8" width="15.5703125" style="3" customWidth="1"/>
    <col min="9" max="9" width="15.5703125" customWidth="1"/>
    <col min="10" max="10" width="16" style="3" bestFit="1" customWidth="1"/>
    <col min="11" max="11" width="15.5703125" style="39" customWidth="1"/>
  </cols>
  <sheetData>
    <row r="1" spans="2:17" ht="18.600000000000001" customHeight="1" x14ac:dyDescent="0.35">
      <c r="B1" s="28" t="s">
        <v>178</v>
      </c>
      <c r="C1" s="407"/>
      <c r="E1" s="97"/>
    </row>
    <row r="2" spans="2:17" ht="14.85" customHeight="1" x14ac:dyDescent="0.3">
      <c r="C2" s="98"/>
      <c r="E2" s="98"/>
    </row>
    <row r="3" spans="2:17" s="522" customFormat="1" ht="46.9" customHeight="1" x14ac:dyDescent="0.25">
      <c r="B3" s="664" t="s">
        <v>521</v>
      </c>
      <c r="C3" s="665"/>
      <c r="D3" s="665"/>
      <c r="E3" s="665"/>
      <c r="F3" s="665"/>
      <c r="G3" s="665"/>
      <c r="H3" s="665"/>
      <c r="I3" s="665"/>
      <c r="J3" s="665"/>
      <c r="K3" s="666"/>
    </row>
    <row r="4" spans="2:17" s="522" customFormat="1" ht="102" customHeight="1" x14ac:dyDescent="0.25">
      <c r="B4" s="632" t="s">
        <v>520</v>
      </c>
      <c r="C4" s="633"/>
      <c r="D4" s="633"/>
      <c r="E4" s="633"/>
      <c r="F4" s="633"/>
      <c r="G4" s="633"/>
      <c r="H4" s="633"/>
      <c r="I4" s="633"/>
      <c r="J4" s="633"/>
      <c r="K4" s="667"/>
    </row>
    <row r="6" spans="2:17" ht="14.85" customHeight="1" x14ac:dyDescent="0.25">
      <c r="B6" s="60" t="s">
        <v>8</v>
      </c>
      <c r="C6" s="99"/>
      <c r="E6" s="99"/>
    </row>
    <row r="7" spans="2:17" ht="14.85" customHeight="1" x14ac:dyDescent="0.25">
      <c r="C7" s="166" t="s">
        <v>9</v>
      </c>
      <c r="E7"/>
    </row>
    <row r="8" spans="2:17" ht="14.85" customHeight="1" x14ac:dyDescent="0.25">
      <c r="C8" s="163" t="s">
        <v>10</v>
      </c>
      <c r="E8"/>
    </row>
    <row r="9" spans="2:17" s="19" customFormat="1" ht="14.85" customHeight="1" thickBot="1" x14ac:dyDescent="0.3">
      <c r="C9" s="204" t="s">
        <v>19</v>
      </c>
      <c r="D9" s="20"/>
      <c r="G9" s="20"/>
      <c r="H9" s="20"/>
      <c r="I9" s="20"/>
      <c r="J9" s="20"/>
      <c r="K9" s="287"/>
      <c r="L9" s="20"/>
      <c r="M9" s="20"/>
      <c r="N9" s="20"/>
      <c r="O9" s="51"/>
      <c r="P9" s="52"/>
      <c r="Q9"/>
    </row>
    <row r="10" spans="2:17" ht="14.85" customHeight="1" thickBot="1" x14ac:dyDescent="0.3">
      <c r="D10" s="490" t="s">
        <v>516</v>
      </c>
      <c r="E10" s="587" t="s">
        <v>517</v>
      </c>
      <c r="F10" s="588"/>
      <c r="G10" s="587" t="s">
        <v>518</v>
      </c>
      <c r="H10" s="588"/>
      <c r="I10" s="587" t="s">
        <v>519</v>
      </c>
      <c r="J10" s="588"/>
    </row>
    <row r="11" spans="2:17" ht="14.85" customHeight="1" x14ac:dyDescent="0.25">
      <c r="B11" s="613" t="s">
        <v>21</v>
      </c>
      <c r="C11" s="613" t="s">
        <v>22</v>
      </c>
      <c r="D11" s="668" t="s">
        <v>515</v>
      </c>
      <c r="E11" s="674" t="s">
        <v>118</v>
      </c>
      <c r="F11" s="671" t="s">
        <v>179</v>
      </c>
      <c r="G11" s="677" t="s">
        <v>137</v>
      </c>
      <c r="H11" s="671" t="s">
        <v>180</v>
      </c>
      <c r="I11" s="677" t="s">
        <v>137</v>
      </c>
      <c r="J11" s="671" t="s">
        <v>180</v>
      </c>
      <c r="K11" s="668" t="s">
        <v>181</v>
      </c>
    </row>
    <row r="12" spans="2:17" ht="14.85" customHeight="1" x14ac:dyDescent="0.25">
      <c r="B12" s="614"/>
      <c r="C12" s="614"/>
      <c r="D12" s="669"/>
      <c r="E12" s="675"/>
      <c r="F12" s="672"/>
      <c r="G12" s="678"/>
      <c r="H12" s="672"/>
      <c r="I12" s="678"/>
      <c r="J12" s="672"/>
      <c r="K12" s="669"/>
    </row>
    <row r="13" spans="2:17" ht="14.85" customHeight="1" x14ac:dyDescent="0.25">
      <c r="B13" s="614"/>
      <c r="C13" s="614"/>
      <c r="D13" s="670"/>
      <c r="E13" s="676"/>
      <c r="F13" s="673"/>
      <c r="G13" s="679"/>
      <c r="H13" s="673"/>
      <c r="I13" s="679"/>
      <c r="J13" s="673"/>
      <c r="K13" s="670"/>
    </row>
    <row r="14" spans="2:17" ht="14.85" customHeight="1" thickBot="1" x14ac:dyDescent="0.3">
      <c r="B14" s="614"/>
      <c r="C14" s="614"/>
      <c r="D14" s="306" t="s">
        <v>142</v>
      </c>
      <c r="E14" s="312" t="s">
        <v>182</v>
      </c>
      <c r="F14" s="313" t="s">
        <v>183</v>
      </c>
      <c r="G14" s="314" t="s">
        <v>141</v>
      </c>
      <c r="H14" s="313" t="s">
        <v>184</v>
      </c>
      <c r="I14" s="312" t="s">
        <v>185</v>
      </c>
      <c r="J14" s="315" t="s">
        <v>186</v>
      </c>
      <c r="K14" s="306" t="s">
        <v>187</v>
      </c>
    </row>
    <row r="15" spans="2:17" ht="14.85" customHeight="1" x14ac:dyDescent="0.25">
      <c r="B15" s="156">
        <f>ÜLDANDMED!C10</f>
        <v>2022</v>
      </c>
      <c r="C15" s="201" t="s">
        <v>188</v>
      </c>
      <c r="D15" s="555"/>
      <c r="E15" s="537"/>
      <c r="F15" s="538"/>
      <c r="G15" s="539"/>
      <c r="H15" s="540"/>
      <c r="I15" s="295"/>
      <c r="J15" s="538"/>
      <c r="K15" s="341"/>
    </row>
    <row r="16" spans="2:17" ht="14.85" customHeight="1" x14ac:dyDescent="0.25">
      <c r="B16" s="106"/>
      <c r="C16" s="85" t="s">
        <v>189</v>
      </c>
      <c r="D16" s="556"/>
      <c r="E16" s="290"/>
      <c r="F16" s="334">
        <f>E16*kütus_bensiin_kaubik_2022/1000</f>
        <v>0</v>
      </c>
      <c r="G16" s="294"/>
      <c r="H16" s="283">
        <f>G16*transport_kaubik_bensiin_km_2022/1000</f>
        <v>0</v>
      </c>
      <c r="I16" s="336"/>
      <c r="J16" s="334">
        <f>I16*transport_kaubik_bensiin_tonnkm_2022/1000</f>
        <v>0</v>
      </c>
      <c r="K16" s="288">
        <f>SUM(F16+H16+J16)</f>
        <v>0</v>
      </c>
    </row>
    <row r="17" spans="2:11" ht="14.85" customHeight="1" x14ac:dyDescent="0.25">
      <c r="B17" s="106"/>
      <c r="C17" s="85" t="s">
        <v>190</v>
      </c>
      <c r="D17" s="556"/>
      <c r="E17" s="290"/>
      <c r="F17" s="334">
        <f>E17*kütus_diisel_kaubik_2022/1000</f>
        <v>0</v>
      </c>
      <c r="G17" s="294"/>
      <c r="H17" s="283">
        <f>G17*transport_kaubik_diisel_km_2022/1000</f>
        <v>0</v>
      </c>
      <c r="I17" s="336"/>
      <c r="J17" s="334">
        <f>I17*transport_kaubik_diisel_tonnkm_2022/1000</f>
        <v>0</v>
      </c>
      <c r="K17" s="288">
        <f t="shared" ref="K17:K19" si="0">SUM(F17+H17+J17)</f>
        <v>0</v>
      </c>
    </row>
    <row r="18" spans="2:11" ht="14.85" customHeight="1" x14ac:dyDescent="0.25">
      <c r="B18" s="94"/>
      <c r="C18" s="103" t="s">
        <v>191</v>
      </c>
      <c r="D18" s="556"/>
      <c r="E18" s="290"/>
      <c r="F18" s="334">
        <f>E18*kütus_taastuvelekter/1000</f>
        <v>0</v>
      </c>
      <c r="G18" s="294"/>
      <c r="H18" s="283">
        <f>G18*kütus_taastuvelekter/1000</f>
        <v>0</v>
      </c>
      <c r="I18" s="336"/>
      <c r="J18" s="334">
        <f>I18*kütus_taastuvelekter/1000</f>
        <v>0</v>
      </c>
      <c r="K18" s="288">
        <f t="shared" si="0"/>
        <v>0</v>
      </c>
    </row>
    <row r="19" spans="2:11" ht="14.85" customHeight="1" x14ac:dyDescent="0.25">
      <c r="B19" s="94"/>
      <c r="C19" s="103" t="s">
        <v>192</v>
      </c>
      <c r="D19" s="556"/>
      <c r="E19" s="290"/>
      <c r="F19" s="334">
        <f>E19*segajääk_2022/1000</f>
        <v>0</v>
      </c>
      <c r="G19" s="294"/>
      <c r="H19" s="283">
        <f>G19*transport_kaubik_tavaelekter_km_2022/1000</f>
        <v>0</v>
      </c>
      <c r="I19" s="336"/>
      <c r="J19" s="334">
        <f>I19*transport_kaubik_tavaelekter_tonnkm_2022/1000</f>
        <v>0</v>
      </c>
      <c r="K19" s="288">
        <f t="shared" si="0"/>
        <v>0</v>
      </c>
    </row>
    <row r="20" spans="2:11" ht="14.85" customHeight="1" x14ac:dyDescent="0.25">
      <c r="B20" s="106"/>
      <c r="C20" s="293" t="s">
        <v>193</v>
      </c>
      <c r="D20" s="544"/>
      <c r="E20" s="541"/>
      <c r="F20" s="542"/>
      <c r="G20" s="541"/>
      <c r="H20" s="543"/>
      <c r="I20" s="542"/>
      <c r="J20" s="542"/>
      <c r="K20" s="544"/>
    </row>
    <row r="21" spans="2:11" ht="14.85" customHeight="1" x14ac:dyDescent="0.25">
      <c r="B21" s="94"/>
      <c r="C21" s="47" t="s">
        <v>194</v>
      </c>
      <c r="D21" s="556"/>
      <c r="E21" s="282"/>
      <c r="F21" s="334">
        <f>E21*kütus_diisel_buss_2022/1000</f>
        <v>0</v>
      </c>
      <c r="G21" s="286"/>
      <c r="H21" s="283">
        <f>G21*transport_buss_2022/1000</f>
        <v>0</v>
      </c>
      <c r="I21" s="337"/>
      <c r="J21" s="296"/>
      <c r="K21" s="289">
        <f>SUM(F21+H21)</f>
        <v>0</v>
      </c>
    </row>
    <row r="22" spans="2:11" ht="14.85" customHeight="1" thickBot="1" x14ac:dyDescent="0.3">
      <c r="B22" s="94"/>
      <c r="C22" s="153" t="s">
        <v>195</v>
      </c>
      <c r="D22" s="557"/>
      <c r="E22" s="284"/>
      <c r="F22" s="335">
        <f>E22*kütus_diisel_kaubik_2022/1000</f>
        <v>0</v>
      </c>
      <c r="G22" s="550"/>
      <c r="H22" s="551">
        <f>IFERROR(G22*transport_väikebuss_2022/1000,0)</f>
        <v>0</v>
      </c>
      <c r="I22" s="338"/>
      <c r="J22" s="297"/>
      <c r="K22" s="552">
        <f>SUM(F22+H22)</f>
        <v>0</v>
      </c>
    </row>
    <row r="23" spans="2:11" ht="14.85" customHeight="1" thickBot="1" x14ac:dyDescent="0.3">
      <c r="B23" s="545"/>
      <c r="C23" s="332" t="s">
        <v>196</v>
      </c>
      <c r="D23" s="553"/>
      <c r="E23" s="546"/>
      <c r="F23" s="547"/>
      <c r="G23" s="547"/>
      <c r="H23" s="547"/>
      <c r="I23" s="547"/>
      <c r="J23" s="548"/>
      <c r="K23" s="554">
        <f>SUM(K16:K19,K21:K22,D23)</f>
        <v>0</v>
      </c>
    </row>
    <row r="24" spans="2:11" ht="14.85" customHeight="1" thickBot="1" x14ac:dyDescent="0.3">
      <c r="C24" s="298"/>
      <c r="E24"/>
      <c r="F24"/>
      <c r="G24"/>
      <c r="H24"/>
      <c r="J24"/>
      <c r="K24" s="3"/>
    </row>
    <row r="25" spans="2:11" ht="14.85" customHeight="1" thickBot="1" x14ac:dyDescent="0.3">
      <c r="D25" s="490" t="s">
        <v>516</v>
      </c>
      <c r="E25" s="587" t="s">
        <v>517</v>
      </c>
      <c r="F25" s="588"/>
      <c r="G25" s="587" t="s">
        <v>518</v>
      </c>
      <c r="H25" s="588"/>
      <c r="I25" s="587" t="s">
        <v>519</v>
      </c>
      <c r="J25" s="588"/>
    </row>
    <row r="26" spans="2:11" ht="14.85" customHeight="1" x14ac:dyDescent="0.25">
      <c r="B26" s="613" t="s">
        <v>21</v>
      </c>
      <c r="C26" s="613" t="s">
        <v>22</v>
      </c>
      <c r="D26" s="668" t="s">
        <v>515</v>
      </c>
      <c r="E26" s="674" t="s">
        <v>118</v>
      </c>
      <c r="F26" s="671" t="s">
        <v>197</v>
      </c>
      <c r="G26" s="677" t="s">
        <v>137</v>
      </c>
      <c r="H26" s="671" t="s">
        <v>180</v>
      </c>
      <c r="I26" s="677" t="s">
        <v>137</v>
      </c>
      <c r="J26" s="671" t="s">
        <v>180</v>
      </c>
      <c r="K26" s="668" t="s">
        <v>181</v>
      </c>
    </row>
    <row r="27" spans="2:11" ht="14.85" customHeight="1" x14ac:dyDescent="0.25">
      <c r="B27" s="614"/>
      <c r="C27" s="614"/>
      <c r="D27" s="669"/>
      <c r="E27" s="675"/>
      <c r="F27" s="672"/>
      <c r="G27" s="678"/>
      <c r="H27" s="672"/>
      <c r="I27" s="678"/>
      <c r="J27" s="672"/>
      <c r="K27" s="669"/>
    </row>
    <row r="28" spans="2:11" ht="14.85" customHeight="1" x14ac:dyDescent="0.25">
      <c r="B28" s="614"/>
      <c r="C28" s="614"/>
      <c r="D28" s="670"/>
      <c r="E28" s="676"/>
      <c r="F28" s="673"/>
      <c r="G28" s="679"/>
      <c r="H28" s="673"/>
      <c r="I28" s="679"/>
      <c r="J28" s="673"/>
      <c r="K28" s="670"/>
    </row>
    <row r="29" spans="2:11" ht="14.85" customHeight="1" thickBot="1" x14ac:dyDescent="0.3">
      <c r="B29" s="614"/>
      <c r="C29" s="614"/>
      <c r="D29" s="306" t="s">
        <v>142</v>
      </c>
      <c r="E29" s="312" t="s">
        <v>182</v>
      </c>
      <c r="F29" s="313" t="s">
        <v>183</v>
      </c>
      <c r="G29" s="314" t="s">
        <v>141</v>
      </c>
      <c r="H29" s="313" t="s">
        <v>184</v>
      </c>
      <c r="I29" s="312" t="s">
        <v>185</v>
      </c>
      <c r="J29" s="315" t="s">
        <v>186</v>
      </c>
      <c r="K29" s="306" t="s">
        <v>187</v>
      </c>
    </row>
    <row r="30" spans="2:11" ht="14.85" customHeight="1" x14ac:dyDescent="0.25">
      <c r="B30" s="156">
        <f>ÜLDANDMED!D10</f>
        <v>2023</v>
      </c>
      <c r="C30" s="207" t="s">
        <v>188</v>
      </c>
      <c r="D30" s="555"/>
      <c r="E30" s="279"/>
      <c r="F30" s="299"/>
      <c r="G30" s="343"/>
      <c r="H30" s="344"/>
      <c r="I30" s="300"/>
      <c r="J30" s="299"/>
      <c r="K30" s="341"/>
    </row>
    <row r="31" spans="2:11" ht="14.85" customHeight="1" x14ac:dyDescent="0.25">
      <c r="B31" s="106"/>
      <c r="C31" s="85" t="s">
        <v>189</v>
      </c>
      <c r="D31" s="556"/>
      <c r="E31" s="290"/>
      <c r="F31" s="334">
        <f>E31*kütus_bensiin_kaubik_2023/1000</f>
        <v>0</v>
      </c>
      <c r="G31" s="294"/>
      <c r="H31" s="283">
        <f>G31*transport_kaubik_bensiin_km_2023/1000</f>
        <v>0</v>
      </c>
      <c r="I31" s="336"/>
      <c r="J31" s="334">
        <f>I31*transport_kaubik_bensiin_tonnkm_2023/1000</f>
        <v>0</v>
      </c>
      <c r="K31" s="288">
        <f>SUM(F31+H31+J31)</f>
        <v>0</v>
      </c>
    </row>
    <row r="32" spans="2:11" ht="14.85" customHeight="1" x14ac:dyDescent="0.25">
      <c r="B32" s="101"/>
      <c r="C32" s="85" t="s">
        <v>190</v>
      </c>
      <c r="D32" s="556"/>
      <c r="E32" s="290"/>
      <c r="F32" s="334">
        <f>E32*kütus_diisel_kaubik_2023/1000</f>
        <v>0</v>
      </c>
      <c r="G32" s="294"/>
      <c r="H32" s="283">
        <f>G32*transport_kaubik_diisel_km_2023/1000</f>
        <v>0</v>
      </c>
      <c r="I32" s="336"/>
      <c r="J32" s="334">
        <f>I32*transport_kaubik_diisel_tonnkm_2023/1000</f>
        <v>0</v>
      </c>
      <c r="K32" s="288">
        <f t="shared" ref="K32:K34" si="1">SUM(F32+H32+J32)</f>
        <v>0</v>
      </c>
    </row>
    <row r="33" spans="2:11" ht="14.85" customHeight="1" x14ac:dyDescent="0.25">
      <c r="B33" s="101"/>
      <c r="C33" s="103" t="s">
        <v>191</v>
      </c>
      <c r="D33" s="556"/>
      <c r="E33" s="290"/>
      <c r="F33" s="334">
        <f>E33*kütus_taastuvelekter/1000</f>
        <v>0</v>
      </c>
      <c r="G33" s="294"/>
      <c r="H33" s="283">
        <f>G33*kütus_taastuvelekter/1000</f>
        <v>0</v>
      </c>
      <c r="I33" s="336"/>
      <c r="J33" s="334">
        <f>I33*kütus_taastuvelekter/1000</f>
        <v>0</v>
      </c>
      <c r="K33" s="288">
        <f t="shared" si="1"/>
        <v>0</v>
      </c>
    </row>
    <row r="34" spans="2:11" ht="14.85" customHeight="1" x14ac:dyDescent="0.25">
      <c r="B34" s="101"/>
      <c r="C34" s="103" t="s">
        <v>192</v>
      </c>
      <c r="D34" s="556"/>
      <c r="E34" s="290"/>
      <c r="F34" s="334">
        <f>E34*segajääk_2023/1000</f>
        <v>0</v>
      </c>
      <c r="G34" s="294"/>
      <c r="H34" s="283">
        <f>G34*transport_kaubik_tavaelekter_km_2023/1000</f>
        <v>0</v>
      </c>
      <c r="I34" s="336"/>
      <c r="J34" s="334">
        <f>I34*transport_kaubik_tavaelekter_tonnkm_2023/1000</f>
        <v>0</v>
      </c>
      <c r="K34" s="288">
        <f t="shared" si="1"/>
        <v>0</v>
      </c>
    </row>
    <row r="35" spans="2:11" ht="14.85" customHeight="1" x14ac:dyDescent="0.25">
      <c r="B35" s="101"/>
      <c r="C35" s="293" t="s">
        <v>193</v>
      </c>
      <c r="D35" s="544"/>
      <c r="E35" s="541"/>
      <c r="F35" s="542"/>
      <c r="G35" s="541"/>
      <c r="H35" s="543"/>
      <c r="I35" s="301"/>
      <c r="J35" s="302"/>
      <c r="K35" s="544"/>
    </row>
    <row r="36" spans="2:11" ht="14.85" customHeight="1" x14ac:dyDescent="0.25">
      <c r="B36" s="101"/>
      <c r="C36" s="85" t="s">
        <v>194</v>
      </c>
      <c r="D36" s="556"/>
      <c r="E36" s="282"/>
      <c r="F36" s="334">
        <f>E36*kütus_diisel_buss_2023/1000</f>
        <v>0</v>
      </c>
      <c r="G36" s="286"/>
      <c r="H36" s="283">
        <f>G36*transport_buss_2023/1000</f>
        <v>0</v>
      </c>
      <c r="I36" s="337"/>
      <c r="J36" s="345"/>
      <c r="K36" s="289">
        <f>SUM(F36+H36)</f>
        <v>0</v>
      </c>
    </row>
    <row r="37" spans="2:11" ht="14.85" customHeight="1" thickBot="1" x14ac:dyDescent="0.3">
      <c r="B37" s="101"/>
      <c r="C37" s="307" t="s">
        <v>195</v>
      </c>
      <c r="D37" s="557"/>
      <c r="E37" s="284"/>
      <c r="F37" s="335">
        <f>E37*kütus_diisel_kaubik_2023/1000</f>
        <v>0</v>
      </c>
      <c r="G37" s="339"/>
      <c r="H37" s="340">
        <f>IFERROR(G37*transport_väikebuss_2023/1000,0)</f>
        <v>0</v>
      </c>
      <c r="I37" s="338"/>
      <c r="J37" s="346"/>
      <c r="K37" s="342">
        <f>SUM(F37+H37)</f>
        <v>0</v>
      </c>
    </row>
    <row r="38" spans="2:11" ht="14.85" customHeight="1" thickBot="1" x14ac:dyDescent="0.3">
      <c r="B38" s="549"/>
      <c r="C38" s="332" t="s">
        <v>196</v>
      </c>
      <c r="D38" s="553"/>
      <c r="E38" s="546"/>
      <c r="F38" s="547"/>
      <c r="G38" s="547"/>
      <c r="H38" s="547"/>
      <c r="I38" s="547"/>
      <c r="J38" s="548"/>
      <c r="K38" s="554">
        <f>SUM(K31:K34,K36:K37,D38)</f>
        <v>0</v>
      </c>
    </row>
    <row r="39" spans="2:11" ht="14.85" customHeight="1" x14ac:dyDescent="0.25">
      <c r="C39" s="298"/>
      <c r="E39"/>
      <c r="F39"/>
      <c r="G39"/>
      <c r="H39"/>
      <c r="J39"/>
      <c r="K39" s="3"/>
    </row>
    <row r="40" spans="2:11" ht="14.85" customHeight="1" thickBot="1" x14ac:dyDescent="0.3">
      <c r="C40"/>
      <c r="E40"/>
      <c r="F40"/>
      <c r="G40"/>
      <c r="H40"/>
      <c r="J40"/>
    </row>
    <row r="41" spans="2:11" ht="14.85" customHeight="1" thickBot="1" x14ac:dyDescent="0.3">
      <c r="D41" s="490" t="s">
        <v>516</v>
      </c>
      <c r="E41" s="587" t="s">
        <v>517</v>
      </c>
      <c r="F41" s="588"/>
      <c r="G41" s="587" t="s">
        <v>518</v>
      </c>
      <c r="H41" s="588"/>
      <c r="I41" s="587" t="s">
        <v>519</v>
      </c>
      <c r="J41" s="588"/>
    </row>
    <row r="42" spans="2:11" ht="14.85" customHeight="1" x14ac:dyDescent="0.25">
      <c r="B42" s="613" t="s">
        <v>21</v>
      </c>
      <c r="C42" s="613" t="s">
        <v>22</v>
      </c>
      <c r="D42" s="668" t="s">
        <v>515</v>
      </c>
      <c r="E42" s="674" t="s">
        <v>118</v>
      </c>
      <c r="F42" s="671" t="s">
        <v>179</v>
      </c>
      <c r="G42" s="677" t="s">
        <v>137</v>
      </c>
      <c r="H42" s="671" t="s">
        <v>180</v>
      </c>
      <c r="I42" s="677" t="s">
        <v>137</v>
      </c>
      <c r="J42" s="671" t="s">
        <v>180</v>
      </c>
      <c r="K42" s="668" t="s">
        <v>181</v>
      </c>
    </row>
    <row r="43" spans="2:11" ht="14.85" customHeight="1" x14ac:dyDescent="0.25">
      <c r="B43" s="614"/>
      <c r="C43" s="614"/>
      <c r="D43" s="669"/>
      <c r="E43" s="675"/>
      <c r="F43" s="672"/>
      <c r="G43" s="678"/>
      <c r="H43" s="672"/>
      <c r="I43" s="678"/>
      <c r="J43" s="672"/>
      <c r="K43" s="669"/>
    </row>
    <row r="44" spans="2:11" ht="14.85" customHeight="1" x14ac:dyDescent="0.25">
      <c r="B44" s="614"/>
      <c r="C44" s="614"/>
      <c r="D44" s="670"/>
      <c r="E44" s="676"/>
      <c r="F44" s="673"/>
      <c r="G44" s="679"/>
      <c r="H44" s="673"/>
      <c r="I44" s="679"/>
      <c r="J44" s="673"/>
      <c r="K44" s="670"/>
    </row>
    <row r="45" spans="2:11" ht="14.85" customHeight="1" thickBot="1" x14ac:dyDescent="0.3">
      <c r="B45" s="614"/>
      <c r="C45" s="614"/>
      <c r="D45" s="306" t="s">
        <v>142</v>
      </c>
      <c r="E45" s="312" t="s">
        <v>182</v>
      </c>
      <c r="F45" s="313" t="s">
        <v>183</v>
      </c>
      <c r="G45" s="314" t="s">
        <v>141</v>
      </c>
      <c r="H45" s="313" t="s">
        <v>184</v>
      </c>
      <c r="I45" s="312" t="s">
        <v>185</v>
      </c>
      <c r="J45" s="315" t="s">
        <v>186</v>
      </c>
      <c r="K45" s="306" t="s">
        <v>187</v>
      </c>
    </row>
    <row r="46" spans="2:11" ht="14.85" customHeight="1" x14ac:dyDescent="0.25">
      <c r="B46" s="281">
        <f>ÜLDANDMED!E10</f>
        <v>2024</v>
      </c>
      <c r="C46" s="207" t="s">
        <v>188</v>
      </c>
      <c r="D46" s="555"/>
      <c r="E46" s="291"/>
      <c r="F46" s="347"/>
      <c r="G46" s="285"/>
      <c r="H46" s="292"/>
      <c r="I46" s="348"/>
      <c r="J46" s="347"/>
      <c r="K46" s="341"/>
    </row>
    <row r="47" spans="2:11" ht="14.85" customHeight="1" x14ac:dyDescent="0.25">
      <c r="B47" s="104"/>
      <c r="C47" s="85" t="s">
        <v>189</v>
      </c>
      <c r="D47" s="556"/>
      <c r="E47" s="290"/>
      <c r="F47" s="334">
        <f>E47*kütus_bensiin_kaubik_2024/1000</f>
        <v>0</v>
      </c>
      <c r="G47" s="294"/>
      <c r="H47" s="283">
        <f>G47*transport_kaubik_bensiin_km_2024/1000</f>
        <v>0</v>
      </c>
      <c r="I47" s="336"/>
      <c r="J47" s="334">
        <f>I47*transport_kaubik_bensiin_tonnkm_2024/1000</f>
        <v>0</v>
      </c>
      <c r="K47" s="288">
        <f>SUM(F47+H47+J47)</f>
        <v>0</v>
      </c>
    </row>
    <row r="48" spans="2:11" ht="14.85" customHeight="1" x14ac:dyDescent="0.25">
      <c r="B48" s="104"/>
      <c r="C48" s="85" t="s">
        <v>190</v>
      </c>
      <c r="D48" s="556"/>
      <c r="E48" s="290"/>
      <c r="F48" s="334">
        <f>E48*kütus_diisel_kaubik_2024/1000</f>
        <v>0</v>
      </c>
      <c r="G48" s="294"/>
      <c r="H48" s="283">
        <f>G48*transport_kaubik_diisel_km_2024/1000</f>
        <v>0</v>
      </c>
      <c r="I48" s="336"/>
      <c r="J48" s="334">
        <f>I48*transport_kaubik_diisel_tonnkm_2024/1000</f>
        <v>0</v>
      </c>
      <c r="K48" s="288">
        <f t="shared" ref="K48:K50" si="2">SUM(F48+H48+J48)</f>
        <v>0</v>
      </c>
    </row>
    <row r="49" spans="2:11" ht="14.85" customHeight="1" x14ac:dyDescent="0.25">
      <c r="B49" s="104"/>
      <c r="C49" s="103" t="s">
        <v>191</v>
      </c>
      <c r="D49" s="556"/>
      <c r="E49" s="290"/>
      <c r="F49" s="334">
        <f>E49*kütus_taastuvelekter/1000</f>
        <v>0</v>
      </c>
      <c r="G49" s="294"/>
      <c r="H49" s="283">
        <f>G49*kütus_taastuvelekter/1000</f>
        <v>0</v>
      </c>
      <c r="I49" s="336"/>
      <c r="J49" s="334">
        <f>I49*kütus_taastuvelekter/1000</f>
        <v>0</v>
      </c>
      <c r="K49" s="288">
        <f t="shared" si="2"/>
        <v>0</v>
      </c>
    </row>
    <row r="50" spans="2:11" ht="14.85" customHeight="1" x14ac:dyDescent="0.25">
      <c r="B50" s="104"/>
      <c r="C50" s="103" t="s">
        <v>192</v>
      </c>
      <c r="D50" s="556"/>
      <c r="E50" s="290"/>
      <c r="F50" s="334">
        <f>E50*segajääk_2024/1000</f>
        <v>0</v>
      </c>
      <c r="G50" s="294"/>
      <c r="H50" s="283">
        <f>G50*transport_kaubik_tavaelekter_km_2024/1000</f>
        <v>0</v>
      </c>
      <c r="I50" s="336"/>
      <c r="J50" s="334">
        <f>I50*transport_kaubik_tavaelekter_tonnkm_2024/1000</f>
        <v>0</v>
      </c>
      <c r="K50" s="288">
        <f t="shared" si="2"/>
        <v>0</v>
      </c>
    </row>
    <row r="51" spans="2:11" ht="14.85" customHeight="1" x14ac:dyDescent="0.25">
      <c r="B51" s="104"/>
      <c r="C51" s="293" t="s">
        <v>193</v>
      </c>
      <c r="D51" s="544"/>
      <c r="E51" s="541"/>
      <c r="F51" s="542"/>
      <c r="G51" s="541"/>
      <c r="H51" s="543"/>
      <c r="I51" s="303"/>
      <c r="J51" s="304"/>
      <c r="K51" s="544"/>
    </row>
    <row r="52" spans="2:11" ht="14.85" customHeight="1" x14ac:dyDescent="0.25">
      <c r="B52" s="104"/>
      <c r="C52" s="85" t="s">
        <v>194</v>
      </c>
      <c r="D52" s="556"/>
      <c r="E52" s="282"/>
      <c r="F52" s="334">
        <f>E52*kütus_diisel_buss_2024/1000</f>
        <v>0</v>
      </c>
      <c r="G52" s="286"/>
      <c r="H52" s="283">
        <f>G52*transport_buss_2024/1000</f>
        <v>0</v>
      </c>
      <c r="I52" s="337"/>
      <c r="J52" s="345"/>
      <c r="K52" s="289">
        <f>SUM(F52+H52)</f>
        <v>0</v>
      </c>
    </row>
    <row r="53" spans="2:11" ht="14.85" customHeight="1" thickBot="1" x14ac:dyDescent="0.3">
      <c r="B53" s="106"/>
      <c r="C53" s="307" t="s">
        <v>195</v>
      </c>
      <c r="D53" s="557"/>
      <c r="E53" s="284"/>
      <c r="F53" s="335">
        <f>E53*kütus_diisel_kaubik_2024/1000</f>
        <v>0</v>
      </c>
      <c r="G53" s="339"/>
      <c r="H53" s="340">
        <f>IFERROR(G53*transport_väikebuss_2024/1000,0)</f>
        <v>0</v>
      </c>
      <c r="I53" s="338"/>
      <c r="J53" s="346"/>
      <c r="K53" s="342">
        <f>SUM(F53+H53)</f>
        <v>0</v>
      </c>
    </row>
    <row r="54" spans="2:11" ht="14.85" customHeight="1" thickBot="1" x14ac:dyDescent="0.3">
      <c r="B54" s="549"/>
      <c r="C54" s="332" t="s">
        <v>196</v>
      </c>
      <c r="D54" s="553"/>
      <c r="E54" s="546"/>
      <c r="F54" s="547"/>
      <c r="G54" s="547"/>
      <c r="H54" s="547"/>
      <c r="I54" s="547"/>
      <c r="J54" s="548"/>
      <c r="K54" s="554">
        <f>SUM(K47:K50,K52:K53,D54)</f>
        <v>0</v>
      </c>
    </row>
    <row r="55" spans="2:11" ht="14.85" customHeight="1" x14ac:dyDescent="0.25">
      <c r="C55" s="298"/>
      <c r="E55"/>
      <c r="F55"/>
      <c r="G55"/>
      <c r="H55"/>
      <c r="J55"/>
      <c r="K55" s="3"/>
    </row>
    <row r="56" spans="2:11" ht="14.85" customHeight="1" thickBot="1" x14ac:dyDescent="0.3">
      <c r="C56"/>
      <c r="E56"/>
      <c r="F56"/>
      <c r="G56"/>
      <c r="H56"/>
      <c r="J56"/>
    </row>
    <row r="57" spans="2:11" ht="14.85" customHeight="1" thickBot="1" x14ac:dyDescent="0.3">
      <c r="D57" s="490" t="s">
        <v>516</v>
      </c>
      <c r="E57" s="587" t="s">
        <v>517</v>
      </c>
      <c r="F57" s="588"/>
      <c r="G57" s="587" t="s">
        <v>518</v>
      </c>
      <c r="H57" s="588"/>
      <c r="I57" s="587" t="s">
        <v>519</v>
      </c>
      <c r="J57" s="588"/>
    </row>
    <row r="58" spans="2:11" ht="14.85" customHeight="1" x14ac:dyDescent="0.25">
      <c r="B58" s="613" t="s">
        <v>21</v>
      </c>
      <c r="C58" s="613" t="s">
        <v>22</v>
      </c>
      <c r="D58" s="668" t="s">
        <v>515</v>
      </c>
      <c r="E58" s="674" t="s">
        <v>118</v>
      </c>
      <c r="F58" s="671" t="s">
        <v>179</v>
      </c>
      <c r="G58" s="677" t="s">
        <v>137</v>
      </c>
      <c r="H58" s="671" t="s">
        <v>180</v>
      </c>
      <c r="I58" s="677" t="s">
        <v>137</v>
      </c>
      <c r="J58" s="671" t="s">
        <v>180</v>
      </c>
      <c r="K58" s="668" t="s">
        <v>181</v>
      </c>
    </row>
    <row r="59" spans="2:11" ht="14.85" customHeight="1" x14ac:dyDescent="0.25">
      <c r="B59" s="614"/>
      <c r="C59" s="614"/>
      <c r="D59" s="669"/>
      <c r="E59" s="675"/>
      <c r="F59" s="672"/>
      <c r="G59" s="678"/>
      <c r="H59" s="672"/>
      <c r="I59" s="678"/>
      <c r="J59" s="672"/>
      <c r="K59" s="669"/>
    </row>
    <row r="60" spans="2:11" ht="14.85" customHeight="1" x14ac:dyDescent="0.25">
      <c r="B60" s="614"/>
      <c r="C60" s="614"/>
      <c r="D60" s="670"/>
      <c r="E60" s="676"/>
      <c r="F60" s="673"/>
      <c r="G60" s="679"/>
      <c r="H60" s="673"/>
      <c r="I60" s="679"/>
      <c r="J60" s="673"/>
      <c r="K60" s="670"/>
    </row>
    <row r="61" spans="2:11" ht="14.85" customHeight="1" thickBot="1" x14ac:dyDescent="0.3">
      <c r="B61" s="614"/>
      <c r="C61" s="614"/>
      <c r="D61" s="306" t="s">
        <v>142</v>
      </c>
      <c r="E61" s="312" t="s">
        <v>182</v>
      </c>
      <c r="F61" s="313" t="s">
        <v>183</v>
      </c>
      <c r="G61" s="314" t="s">
        <v>141</v>
      </c>
      <c r="H61" s="313" t="s">
        <v>184</v>
      </c>
      <c r="I61" s="312" t="s">
        <v>185</v>
      </c>
      <c r="J61" s="315" t="s">
        <v>186</v>
      </c>
      <c r="K61" s="306" t="s">
        <v>187</v>
      </c>
    </row>
    <row r="62" spans="2:11" ht="14.85" customHeight="1" x14ac:dyDescent="0.25">
      <c r="B62" s="156">
        <f>ÜLDANDMED!F10</f>
        <v>2025</v>
      </c>
      <c r="C62" s="207" t="s">
        <v>188</v>
      </c>
      <c r="D62" s="555"/>
      <c r="E62" s="291"/>
      <c r="F62" s="347"/>
      <c r="G62" s="285"/>
      <c r="H62" s="292"/>
      <c r="I62" s="348"/>
      <c r="J62" s="347"/>
      <c r="K62" s="341"/>
    </row>
    <row r="63" spans="2:11" ht="14.85" customHeight="1" x14ac:dyDescent="0.25">
      <c r="B63" s="94"/>
      <c r="C63" s="85" t="s">
        <v>189</v>
      </c>
      <c r="D63" s="556"/>
      <c r="E63" s="290"/>
      <c r="F63" s="334">
        <f>E63*kütus_bensiin_kaubik_2025/1000</f>
        <v>0</v>
      </c>
      <c r="G63" s="294"/>
      <c r="H63" s="283">
        <f>G63*transport_kaubik_bensiin_km_2025/1000</f>
        <v>0</v>
      </c>
      <c r="I63" s="336"/>
      <c r="J63" s="334">
        <f>I63*transport_kaubik_bensiin_tonnkm_2025/1000</f>
        <v>0</v>
      </c>
      <c r="K63" s="288">
        <f>SUM(F63+H63+J63)</f>
        <v>0</v>
      </c>
    </row>
    <row r="64" spans="2:11" ht="14.85" customHeight="1" x14ac:dyDescent="0.25">
      <c r="B64" s="94"/>
      <c r="C64" s="85" t="s">
        <v>190</v>
      </c>
      <c r="D64" s="556"/>
      <c r="E64" s="290"/>
      <c r="F64" s="334">
        <f>E64*kütus_diisel_kaubik_2025/1000</f>
        <v>0</v>
      </c>
      <c r="G64" s="294"/>
      <c r="H64" s="283">
        <f>G64*transport_kaubik_diisel_km_2025/1000</f>
        <v>0</v>
      </c>
      <c r="I64" s="336"/>
      <c r="J64" s="334">
        <f>I64*transport_kaubik_diisel_tonnkm_2025/1000</f>
        <v>0</v>
      </c>
      <c r="K64" s="288">
        <f t="shared" ref="K64:K66" si="3">SUM(F64+H64+J64)</f>
        <v>0</v>
      </c>
    </row>
    <row r="65" spans="2:11" ht="14.85" customHeight="1" x14ac:dyDescent="0.25">
      <c r="B65" s="94"/>
      <c r="C65" s="103" t="s">
        <v>191</v>
      </c>
      <c r="D65" s="556"/>
      <c r="E65" s="290"/>
      <c r="F65" s="334">
        <f>E65*kütus_taastuvelekter/1000</f>
        <v>0</v>
      </c>
      <c r="G65" s="294"/>
      <c r="H65" s="283">
        <f>G65*kütus_taastuvelekter/1000</f>
        <v>0</v>
      </c>
      <c r="I65" s="336"/>
      <c r="J65" s="334">
        <f>I65*kütus_taastuvelekter/1000</f>
        <v>0</v>
      </c>
      <c r="K65" s="288">
        <f t="shared" si="3"/>
        <v>0</v>
      </c>
    </row>
    <row r="66" spans="2:11" ht="14.85" customHeight="1" x14ac:dyDescent="0.25">
      <c r="B66" s="94"/>
      <c r="C66" s="103" t="s">
        <v>192</v>
      </c>
      <c r="D66" s="556"/>
      <c r="E66" s="290"/>
      <c r="F66" s="334">
        <f>E66*segajääk_2025/1000</f>
        <v>0</v>
      </c>
      <c r="G66" s="294"/>
      <c r="H66" s="283">
        <f>G66*transport_kaubik_tavaelekter_km_2025/1000</f>
        <v>0</v>
      </c>
      <c r="I66" s="336"/>
      <c r="J66" s="334">
        <f>I66*transport_kaubik_tavaelekter_tonnkm_2025/1000</f>
        <v>0</v>
      </c>
      <c r="K66" s="288">
        <f t="shared" si="3"/>
        <v>0</v>
      </c>
    </row>
    <row r="67" spans="2:11" ht="14.85" customHeight="1" x14ac:dyDescent="0.25">
      <c r="B67" s="94"/>
      <c r="C67" s="293" t="s">
        <v>193</v>
      </c>
      <c r="D67" s="544"/>
      <c r="E67" s="541"/>
      <c r="F67" s="542"/>
      <c r="G67" s="541"/>
      <c r="H67" s="543"/>
      <c r="I67" s="303"/>
      <c r="J67" s="304"/>
      <c r="K67" s="544"/>
    </row>
    <row r="68" spans="2:11" ht="14.85" customHeight="1" x14ac:dyDescent="0.25">
      <c r="B68" s="94"/>
      <c r="C68" s="85" t="s">
        <v>194</v>
      </c>
      <c r="D68" s="556"/>
      <c r="E68" s="282"/>
      <c r="F68" s="334">
        <f>E68*kütus_diisel_buss_2025/1000</f>
        <v>0</v>
      </c>
      <c r="G68" s="286"/>
      <c r="H68" s="283">
        <f>G68*transport_buss_2025/1000</f>
        <v>0</v>
      </c>
      <c r="I68" s="337"/>
      <c r="J68" s="345"/>
      <c r="K68" s="289">
        <f>SUM(F68+H68)</f>
        <v>0</v>
      </c>
    </row>
    <row r="69" spans="2:11" ht="14.85" customHeight="1" thickBot="1" x14ac:dyDescent="0.3">
      <c r="B69" s="106"/>
      <c r="C69" s="307" t="s">
        <v>195</v>
      </c>
      <c r="D69" s="557"/>
      <c r="E69" s="284"/>
      <c r="F69" s="335">
        <f>E69*kütus_diisel_kaubik_2025/1000</f>
        <v>0</v>
      </c>
      <c r="G69" s="339"/>
      <c r="H69" s="340">
        <f>IFERROR(G69*transport_väikebuss_2025/1000,0)</f>
        <v>0</v>
      </c>
      <c r="I69" s="338"/>
      <c r="J69" s="346"/>
      <c r="K69" s="342">
        <f>SUM(F69+H69)</f>
        <v>0</v>
      </c>
    </row>
    <row r="70" spans="2:11" ht="14.85" customHeight="1" thickBot="1" x14ac:dyDescent="0.3">
      <c r="B70" s="549"/>
      <c r="C70" s="332" t="s">
        <v>196</v>
      </c>
      <c r="D70" s="553"/>
      <c r="E70" s="546"/>
      <c r="F70" s="547"/>
      <c r="G70" s="547"/>
      <c r="H70" s="547"/>
      <c r="I70" s="547"/>
      <c r="J70" s="548"/>
      <c r="K70" s="554">
        <f>SUM(K63:K66,K68:K69,D70)</f>
        <v>0</v>
      </c>
    </row>
    <row r="71" spans="2:11" ht="14.85" customHeight="1" x14ac:dyDescent="0.25">
      <c r="C71" s="298"/>
      <c r="E71"/>
      <c r="F71"/>
      <c r="G71"/>
      <c r="H71"/>
      <c r="J71"/>
      <c r="K71" s="3"/>
    </row>
    <row r="72" spans="2:11" ht="14.85" customHeight="1" thickBot="1" x14ac:dyDescent="0.3">
      <c r="C72"/>
      <c r="E72"/>
      <c r="F72"/>
      <c r="G72"/>
      <c r="H72"/>
      <c r="J72"/>
    </row>
    <row r="73" spans="2:11" ht="14.85" customHeight="1" thickBot="1" x14ac:dyDescent="0.3">
      <c r="D73" s="490" t="s">
        <v>516</v>
      </c>
      <c r="E73" s="587" t="s">
        <v>517</v>
      </c>
      <c r="F73" s="588"/>
      <c r="G73" s="587" t="s">
        <v>518</v>
      </c>
      <c r="H73" s="588"/>
      <c r="I73" s="587" t="s">
        <v>519</v>
      </c>
      <c r="J73" s="588"/>
    </row>
    <row r="74" spans="2:11" ht="14.85" customHeight="1" x14ac:dyDescent="0.25">
      <c r="B74" s="613" t="s">
        <v>21</v>
      </c>
      <c r="C74" s="613" t="s">
        <v>22</v>
      </c>
      <c r="D74" s="668" t="s">
        <v>515</v>
      </c>
      <c r="E74" s="674" t="s">
        <v>118</v>
      </c>
      <c r="F74" s="671" t="s">
        <v>179</v>
      </c>
      <c r="G74" s="677" t="s">
        <v>137</v>
      </c>
      <c r="H74" s="671" t="s">
        <v>180</v>
      </c>
      <c r="I74" s="677" t="s">
        <v>137</v>
      </c>
      <c r="J74" s="671" t="s">
        <v>180</v>
      </c>
      <c r="K74" s="668" t="s">
        <v>181</v>
      </c>
    </row>
    <row r="75" spans="2:11" ht="14.85" customHeight="1" x14ac:dyDescent="0.25">
      <c r="B75" s="614"/>
      <c r="C75" s="614"/>
      <c r="D75" s="669"/>
      <c r="E75" s="675"/>
      <c r="F75" s="672"/>
      <c r="G75" s="678"/>
      <c r="H75" s="672"/>
      <c r="I75" s="678"/>
      <c r="J75" s="672"/>
      <c r="K75" s="669"/>
    </row>
    <row r="76" spans="2:11" ht="14.85" customHeight="1" x14ac:dyDescent="0.25">
      <c r="B76" s="614"/>
      <c r="C76" s="614"/>
      <c r="D76" s="670"/>
      <c r="E76" s="676"/>
      <c r="F76" s="673"/>
      <c r="G76" s="679"/>
      <c r="H76" s="673"/>
      <c r="I76" s="679"/>
      <c r="J76" s="673"/>
      <c r="K76" s="670"/>
    </row>
    <row r="77" spans="2:11" ht="14.85" customHeight="1" thickBot="1" x14ac:dyDescent="0.3">
      <c r="B77" s="614"/>
      <c r="C77" s="614"/>
      <c r="D77" s="306" t="s">
        <v>142</v>
      </c>
      <c r="E77" s="312" t="s">
        <v>182</v>
      </c>
      <c r="F77" s="313" t="s">
        <v>183</v>
      </c>
      <c r="G77" s="314" t="s">
        <v>141</v>
      </c>
      <c r="H77" s="313" t="s">
        <v>184</v>
      </c>
      <c r="I77" s="312" t="s">
        <v>185</v>
      </c>
      <c r="J77" s="315" t="s">
        <v>186</v>
      </c>
      <c r="K77" s="306" t="s">
        <v>187</v>
      </c>
    </row>
    <row r="78" spans="2:11" ht="14.85" customHeight="1" x14ac:dyDescent="0.25">
      <c r="B78" s="281">
        <f>ÜLDANDMED!G10</f>
        <v>2026</v>
      </c>
      <c r="C78" s="207" t="s">
        <v>188</v>
      </c>
      <c r="D78" s="555"/>
      <c r="E78" s="291"/>
      <c r="F78" s="347"/>
      <c r="G78" s="285"/>
      <c r="H78" s="292"/>
      <c r="I78" s="348"/>
      <c r="J78" s="347"/>
      <c r="K78" s="341"/>
    </row>
    <row r="79" spans="2:11" ht="14.85" customHeight="1" x14ac:dyDescent="0.25">
      <c r="B79" s="104"/>
      <c r="C79" s="85" t="s">
        <v>189</v>
      </c>
      <c r="D79" s="556"/>
      <c r="E79" s="290"/>
      <c r="F79" s="334">
        <f>E79*kütus_bensiin_kaubik_2026/1000</f>
        <v>0</v>
      </c>
      <c r="G79" s="294"/>
      <c r="H79" s="283">
        <f>G79*transport_kaubik_bensiin_km_2026/1000</f>
        <v>0</v>
      </c>
      <c r="I79" s="336"/>
      <c r="J79" s="334">
        <f>I79*transport_kaubik_bensiin_tonnkm_2026/1000</f>
        <v>0</v>
      </c>
      <c r="K79" s="288">
        <f>SUM(F79+H79+J79)</f>
        <v>0</v>
      </c>
    </row>
    <row r="80" spans="2:11" ht="14.85" customHeight="1" x14ac:dyDescent="0.25">
      <c r="B80" s="104"/>
      <c r="C80" s="85" t="s">
        <v>190</v>
      </c>
      <c r="D80" s="556"/>
      <c r="E80" s="290"/>
      <c r="F80" s="334">
        <f>E80*kütus_diisel_kaubik_2026/1000</f>
        <v>0</v>
      </c>
      <c r="G80" s="294"/>
      <c r="H80" s="283">
        <f>G80*transport_kaubik_diisel_km_2026/1000</f>
        <v>0</v>
      </c>
      <c r="I80" s="336"/>
      <c r="J80" s="334">
        <f>I80*transport_kaubik_diisel_tonnkm_2026/1000</f>
        <v>0</v>
      </c>
      <c r="K80" s="288">
        <f t="shared" ref="K80:K82" si="4">SUM(F80+H80+J80)</f>
        <v>0</v>
      </c>
    </row>
    <row r="81" spans="2:11" ht="14.85" customHeight="1" x14ac:dyDescent="0.25">
      <c r="B81" s="104"/>
      <c r="C81" s="103" t="s">
        <v>191</v>
      </c>
      <c r="D81" s="556"/>
      <c r="E81" s="290"/>
      <c r="F81" s="334">
        <f>E81*kütus_taastuvelekter/1000</f>
        <v>0</v>
      </c>
      <c r="G81" s="294"/>
      <c r="H81" s="283">
        <f>G81*kütus_taastuvelekter/1000</f>
        <v>0</v>
      </c>
      <c r="I81" s="336"/>
      <c r="J81" s="334">
        <f>I81*kütus_taastuvelekter/1000</f>
        <v>0</v>
      </c>
      <c r="K81" s="288">
        <f t="shared" si="4"/>
        <v>0</v>
      </c>
    </row>
    <row r="82" spans="2:11" ht="14.85" customHeight="1" x14ac:dyDescent="0.25">
      <c r="B82" s="104"/>
      <c r="C82" s="103" t="s">
        <v>192</v>
      </c>
      <c r="D82" s="556"/>
      <c r="E82" s="290"/>
      <c r="F82" s="334">
        <f>E82*segajääk_2026/1000</f>
        <v>0</v>
      </c>
      <c r="G82" s="294"/>
      <c r="H82" s="283">
        <f>G82*transport_kaubik_tavaelekter_km_2026/1000</f>
        <v>0</v>
      </c>
      <c r="I82" s="336"/>
      <c r="J82" s="334">
        <f>I82*transport_kaubik_tavaelekter_tonnkm_2026/1000</f>
        <v>0</v>
      </c>
      <c r="K82" s="288">
        <f t="shared" si="4"/>
        <v>0</v>
      </c>
    </row>
    <row r="83" spans="2:11" ht="14.85" customHeight="1" x14ac:dyDescent="0.25">
      <c r="B83" s="104"/>
      <c r="C83" s="293" t="s">
        <v>193</v>
      </c>
      <c r="D83" s="544"/>
      <c r="E83" s="541"/>
      <c r="F83" s="542"/>
      <c r="G83" s="541"/>
      <c r="H83" s="543"/>
      <c r="I83" s="303"/>
      <c r="J83" s="304"/>
      <c r="K83" s="544"/>
    </row>
    <row r="84" spans="2:11" ht="14.85" customHeight="1" x14ac:dyDescent="0.25">
      <c r="B84" s="104"/>
      <c r="C84" s="85" t="s">
        <v>194</v>
      </c>
      <c r="D84" s="556"/>
      <c r="E84" s="282"/>
      <c r="F84" s="334">
        <f>E84*kütus_diisel_buss_2026/1000</f>
        <v>0</v>
      </c>
      <c r="G84" s="286"/>
      <c r="H84" s="283">
        <f>G84*transport_buss_2026/1000</f>
        <v>0</v>
      </c>
      <c r="I84" s="337"/>
      <c r="J84" s="345"/>
      <c r="K84" s="289">
        <f>SUM(F84+H84)</f>
        <v>0</v>
      </c>
    </row>
    <row r="85" spans="2:11" ht="14.85" customHeight="1" thickBot="1" x14ac:dyDescent="0.3">
      <c r="B85" s="106"/>
      <c r="C85" s="307" t="s">
        <v>195</v>
      </c>
      <c r="D85" s="557"/>
      <c r="E85" s="284"/>
      <c r="F85" s="335">
        <f>E85*kütus_diisel_kaubik_2026/1000</f>
        <v>0</v>
      </c>
      <c r="G85" s="339"/>
      <c r="H85" s="340">
        <f>IFERROR(G85*transport_väikebuss_2026/1000,0)</f>
        <v>0</v>
      </c>
      <c r="I85" s="338"/>
      <c r="J85" s="346"/>
      <c r="K85" s="342">
        <f>SUM(F85+H85)</f>
        <v>0</v>
      </c>
    </row>
    <row r="86" spans="2:11" ht="14.85" customHeight="1" thickBot="1" x14ac:dyDescent="0.3">
      <c r="B86" s="549"/>
      <c r="C86" s="332" t="s">
        <v>196</v>
      </c>
      <c r="D86" s="553"/>
      <c r="E86" s="546"/>
      <c r="F86" s="547"/>
      <c r="G86" s="547"/>
      <c r="H86" s="547"/>
      <c r="I86" s="547"/>
      <c r="J86" s="548"/>
      <c r="K86" s="554">
        <f>SUM(K79:K82,K84:K85,D86)</f>
        <v>0</v>
      </c>
    </row>
    <row r="87" spans="2:11" ht="14.85" customHeight="1" x14ac:dyDescent="0.25">
      <c r="C87"/>
      <c r="E87"/>
      <c r="F87"/>
      <c r="G87"/>
      <c r="H87"/>
      <c r="J87"/>
    </row>
    <row r="88" spans="2:11" ht="14.85" customHeight="1" thickBot="1" x14ac:dyDescent="0.3">
      <c r="C88"/>
      <c r="E88"/>
      <c r="F88"/>
      <c r="G88"/>
      <c r="H88"/>
      <c r="J88"/>
    </row>
    <row r="89" spans="2:11" ht="14.85" customHeight="1" thickBot="1" x14ac:dyDescent="0.3">
      <c r="D89" s="490" t="s">
        <v>516</v>
      </c>
      <c r="E89" s="587" t="s">
        <v>517</v>
      </c>
      <c r="F89" s="588"/>
      <c r="G89" s="587" t="s">
        <v>518</v>
      </c>
      <c r="H89" s="588"/>
      <c r="I89" s="587" t="s">
        <v>519</v>
      </c>
      <c r="J89" s="588"/>
    </row>
    <row r="90" spans="2:11" ht="14.85" customHeight="1" x14ac:dyDescent="0.25">
      <c r="B90" s="613" t="s">
        <v>21</v>
      </c>
      <c r="C90" s="613" t="s">
        <v>22</v>
      </c>
      <c r="D90" s="668" t="s">
        <v>515</v>
      </c>
      <c r="E90" s="674" t="s">
        <v>118</v>
      </c>
      <c r="F90" s="671" t="s">
        <v>179</v>
      </c>
      <c r="G90" s="677" t="s">
        <v>137</v>
      </c>
      <c r="H90" s="671" t="s">
        <v>180</v>
      </c>
      <c r="I90" s="677" t="s">
        <v>137</v>
      </c>
      <c r="J90" s="671" t="s">
        <v>180</v>
      </c>
      <c r="K90" s="668" t="s">
        <v>181</v>
      </c>
    </row>
    <row r="91" spans="2:11" ht="14.85" customHeight="1" x14ac:dyDescent="0.25">
      <c r="B91" s="614"/>
      <c r="C91" s="614"/>
      <c r="D91" s="669"/>
      <c r="E91" s="675"/>
      <c r="F91" s="672"/>
      <c r="G91" s="678"/>
      <c r="H91" s="672"/>
      <c r="I91" s="678"/>
      <c r="J91" s="672"/>
      <c r="K91" s="669"/>
    </row>
    <row r="92" spans="2:11" ht="14.85" customHeight="1" x14ac:dyDescent="0.25">
      <c r="B92" s="614"/>
      <c r="C92" s="614"/>
      <c r="D92" s="670"/>
      <c r="E92" s="676"/>
      <c r="F92" s="673"/>
      <c r="G92" s="679"/>
      <c r="H92" s="673"/>
      <c r="I92" s="679"/>
      <c r="J92" s="673"/>
      <c r="K92" s="670"/>
    </row>
    <row r="93" spans="2:11" ht="14.85" customHeight="1" thickBot="1" x14ac:dyDescent="0.3">
      <c r="B93" s="614"/>
      <c r="C93" s="614"/>
      <c r="D93" s="306" t="s">
        <v>142</v>
      </c>
      <c r="E93" s="312" t="s">
        <v>182</v>
      </c>
      <c r="F93" s="313" t="s">
        <v>183</v>
      </c>
      <c r="G93" s="314" t="s">
        <v>141</v>
      </c>
      <c r="H93" s="313" t="s">
        <v>184</v>
      </c>
      <c r="I93" s="312" t="s">
        <v>185</v>
      </c>
      <c r="J93" s="315" t="s">
        <v>186</v>
      </c>
      <c r="K93" s="306" t="s">
        <v>187</v>
      </c>
    </row>
    <row r="94" spans="2:11" ht="14.85" customHeight="1" x14ac:dyDescent="0.25">
      <c r="B94" s="156">
        <f>ÜLDANDMED!H10</f>
        <v>2027</v>
      </c>
      <c r="C94" s="207" t="s">
        <v>188</v>
      </c>
      <c r="D94" s="555"/>
      <c r="E94" s="291"/>
      <c r="F94" s="347"/>
      <c r="G94" s="285"/>
      <c r="H94" s="292"/>
      <c r="I94" s="348"/>
      <c r="J94" s="347"/>
      <c r="K94" s="341"/>
    </row>
    <row r="95" spans="2:11" ht="14.85" customHeight="1" x14ac:dyDescent="0.25">
      <c r="B95" s="94"/>
      <c r="C95" s="85" t="s">
        <v>189</v>
      </c>
      <c r="D95" s="556"/>
      <c r="E95" s="290"/>
      <c r="F95" s="334">
        <f>E95*kütus_bensiin_kaubik_2027/1000</f>
        <v>0</v>
      </c>
      <c r="G95" s="294"/>
      <c r="H95" s="283">
        <f>G95*transport_kaubik_bensiin_km_2027/1000</f>
        <v>0</v>
      </c>
      <c r="I95" s="336"/>
      <c r="J95" s="334">
        <f>I95*transport_kaubik_bensiin_tonnkm_2027/1000</f>
        <v>0</v>
      </c>
      <c r="K95" s="288">
        <f>SUM(F95+H95+J95)</f>
        <v>0</v>
      </c>
    </row>
    <row r="96" spans="2:11" ht="14.85" customHeight="1" x14ac:dyDescent="0.25">
      <c r="B96" s="94"/>
      <c r="C96" s="85" t="s">
        <v>190</v>
      </c>
      <c r="D96" s="556"/>
      <c r="E96" s="290"/>
      <c r="F96" s="334">
        <f>E96*kütus_diisel_kaubik_2027/1000</f>
        <v>0</v>
      </c>
      <c r="G96" s="294"/>
      <c r="H96" s="283">
        <f>G96*transport_kaubik_diisel_km_2027/1000</f>
        <v>0</v>
      </c>
      <c r="I96" s="336"/>
      <c r="J96" s="334">
        <f>I96*transport_kaubik_diisel_tonnkm_2027/1000</f>
        <v>0</v>
      </c>
      <c r="K96" s="288">
        <f t="shared" ref="K96:K98" si="5">SUM(F96+H96+J96)</f>
        <v>0</v>
      </c>
    </row>
    <row r="97" spans="2:11" ht="14.85" customHeight="1" x14ac:dyDescent="0.25">
      <c r="B97" s="94"/>
      <c r="C97" s="103" t="s">
        <v>191</v>
      </c>
      <c r="D97" s="556"/>
      <c r="E97" s="290"/>
      <c r="F97" s="334">
        <f>E97*kütus_taastuvelekter/1000</f>
        <v>0</v>
      </c>
      <c r="G97" s="294"/>
      <c r="H97" s="283">
        <f>G97*kütus_taastuvelekter/1000</f>
        <v>0</v>
      </c>
      <c r="I97" s="336"/>
      <c r="J97" s="334">
        <f>I97*kütus_taastuvelekter/1000</f>
        <v>0</v>
      </c>
      <c r="K97" s="288">
        <f t="shared" si="5"/>
        <v>0</v>
      </c>
    </row>
    <row r="98" spans="2:11" ht="14.85" customHeight="1" x14ac:dyDescent="0.25">
      <c r="B98" s="94"/>
      <c r="C98" s="103" t="s">
        <v>192</v>
      </c>
      <c r="D98" s="556"/>
      <c r="E98" s="290"/>
      <c r="F98" s="334">
        <f>E98*segajääk_2027/1000</f>
        <v>0</v>
      </c>
      <c r="G98" s="294"/>
      <c r="H98" s="283">
        <f>G98*transport_kaubik_tavaelekter_km_2027/1000</f>
        <v>0</v>
      </c>
      <c r="I98" s="336"/>
      <c r="J98" s="334">
        <f>I98*transport_kaubik_tavaelekter_tonnkm_2027/1000</f>
        <v>0</v>
      </c>
      <c r="K98" s="288">
        <f t="shared" si="5"/>
        <v>0</v>
      </c>
    </row>
    <row r="99" spans="2:11" ht="14.85" customHeight="1" x14ac:dyDescent="0.25">
      <c r="B99" s="94"/>
      <c r="C99" s="293" t="s">
        <v>193</v>
      </c>
      <c r="D99" s="544"/>
      <c r="E99" s="541"/>
      <c r="F99" s="542"/>
      <c r="G99" s="541"/>
      <c r="H99" s="543"/>
      <c r="I99" s="303"/>
      <c r="J99" s="304"/>
      <c r="K99" s="544"/>
    </row>
    <row r="100" spans="2:11" ht="14.85" customHeight="1" x14ac:dyDescent="0.25">
      <c r="B100" s="94"/>
      <c r="C100" s="85" t="s">
        <v>194</v>
      </c>
      <c r="D100" s="556"/>
      <c r="E100" s="282"/>
      <c r="F100" s="334">
        <f>E100*kütus_diisel_buss_2027/1000</f>
        <v>0</v>
      </c>
      <c r="G100" s="286"/>
      <c r="H100" s="283">
        <f>G100*transport_buss_2027/1000</f>
        <v>0</v>
      </c>
      <c r="I100" s="337"/>
      <c r="J100" s="345"/>
      <c r="K100" s="289">
        <f>SUM(F100+H100)</f>
        <v>0</v>
      </c>
    </row>
    <row r="101" spans="2:11" ht="14.85" customHeight="1" thickBot="1" x14ac:dyDescent="0.3">
      <c r="B101" s="106"/>
      <c r="C101" s="307" t="s">
        <v>195</v>
      </c>
      <c r="D101" s="557"/>
      <c r="E101" s="284"/>
      <c r="F101" s="335">
        <f>E101*kütus_diisel_kaubik_2027/1000</f>
        <v>0</v>
      </c>
      <c r="G101" s="339"/>
      <c r="H101" s="340">
        <f>IFERROR(G101*transport_väikebuss_2027/1000,0)</f>
        <v>0</v>
      </c>
      <c r="I101" s="338"/>
      <c r="J101" s="346"/>
      <c r="K101" s="342">
        <f>SUM(F101+H101)</f>
        <v>0</v>
      </c>
    </row>
    <row r="102" spans="2:11" ht="14.85" customHeight="1" thickBot="1" x14ac:dyDescent="0.3">
      <c r="B102" s="549"/>
      <c r="C102" s="332" t="s">
        <v>196</v>
      </c>
      <c r="D102" s="553"/>
      <c r="E102" s="546"/>
      <c r="F102" s="547"/>
      <c r="G102" s="547"/>
      <c r="H102" s="547"/>
      <c r="I102" s="547"/>
      <c r="J102" s="548"/>
      <c r="K102" s="554">
        <f>SUM(K95:K98,K100:K101,D102)</f>
        <v>0</v>
      </c>
    </row>
    <row r="103" spans="2:11" ht="14.85" customHeight="1" x14ac:dyDescent="0.25">
      <c r="C103"/>
      <c r="E103"/>
      <c r="F103"/>
      <c r="G103"/>
      <c r="H103"/>
      <c r="J103"/>
    </row>
    <row r="104" spans="2:11" ht="14.85" customHeight="1" thickBot="1" x14ac:dyDescent="0.3">
      <c r="C104"/>
      <c r="E104"/>
      <c r="F104"/>
      <c r="G104"/>
      <c r="H104"/>
      <c r="J104"/>
    </row>
    <row r="105" spans="2:11" ht="14.85" customHeight="1" thickBot="1" x14ac:dyDescent="0.3">
      <c r="D105" s="490" t="s">
        <v>516</v>
      </c>
      <c r="E105" s="587" t="s">
        <v>517</v>
      </c>
      <c r="F105" s="588"/>
      <c r="G105" s="587" t="s">
        <v>518</v>
      </c>
      <c r="H105" s="588"/>
      <c r="I105" s="587" t="s">
        <v>519</v>
      </c>
      <c r="J105" s="588"/>
    </row>
    <row r="106" spans="2:11" ht="14.85" customHeight="1" x14ac:dyDescent="0.25">
      <c r="B106" s="613" t="s">
        <v>21</v>
      </c>
      <c r="C106" s="613" t="s">
        <v>22</v>
      </c>
      <c r="D106" s="668" t="s">
        <v>515</v>
      </c>
      <c r="E106" s="674" t="s">
        <v>118</v>
      </c>
      <c r="F106" s="671" t="s">
        <v>179</v>
      </c>
      <c r="G106" s="677" t="s">
        <v>137</v>
      </c>
      <c r="H106" s="671" t="s">
        <v>180</v>
      </c>
      <c r="I106" s="677" t="s">
        <v>137</v>
      </c>
      <c r="J106" s="671" t="s">
        <v>180</v>
      </c>
      <c r="K106" s="668" t="s">
        <v>181</v>
      </c>
    </row>
    <row r="107" spans="2:11" ht="14.85" customHeight="1" x14ac:dyDescent="0.25">
      <c r="B107" s="614"/>
      <c r="C107" s="614"/>
      <c r="D107" s="669"/>
      <c r="E107" s="675"/>
      <c r="F107" s="672"/>
      <c r="G107" s="678"/>
      <c r="H107" s="672"/>
      <c r="I107" s="678"/>
      <c r="J107" s="672"/>
      <c r="K107" s="669"/>
    </row>
    <row r="108" spans="2:11" ht="14.85" customHeight="1" x14ac:dyDescent="0.25">
      <c r="B108" s="614"/>
      <c r="C108" s="614"/>
      <c r="D108" s="670"/>
      <c r="E108" s="676"/>
      <c r="F108" s="673"/>
      <c r="G108" s="679"/>
      <c r="H108" s="673"/>
      <c r="I108" s="679"/>
      <c r="J108" s="673"/>
      <c r="K108" s="670"/>
    </row>
    <row r="109" spans="2:11" ht="14.85" customHeight="1" thickBot="1" x14ac:dyDescent="0.3">
      <c r="B109" s="614"/>
      <c r="C109" s="614"/>
      <c r="D109" s="306" t="s">
        <v>142</v>
      </c>
      <c r="E109" s="312" t="s">
        <v>182</v>
      </c>
      <c r="F109" s="313" t="s">
        <v>183</v>
      </c>
      <c r="G109" s="314" t="s">
        <v>141</v>
      </c>
      <c r="H109" s="313" t="s">
        <v>184</v>
      </c>
      <c r="I109" s="312" t="s">
        <v>185</v>
      </c>
      <c r="J109" s="315" t="s">
        <v>186</v>
      </c>
      <c r="K109" s="306" t="s">
        <v>187</v>
      </c>
    </row>
    <row r="110" spans="2:11" ht="14.85" customHeight="1" x14ac:dyDescent="0.25">
      <c r="B110" s="281">
        <f>ÜLDANDMED!I10</f>
        <v>2028</v>
      </c>
      <c r="C110" s="207" t="s">
        <v>188</v>
      </c>
      <c r="D110" s="555"/>
      <c r="E110" s="291"/>
      <c r="F110" s="347"/>
      <c r="G110" s="285"/>
      <c r="H110" s="292"/>
      <c r="I110" s="348"/>
      <c r="J110" s="347"/>
      <c r="K110" s="341"/>
    </row>
    <row r="111" spans="2:11" ht="14.85" customHeight="1" x14ac:dyDescent="0.25">
      <c r="B111" s="104"/>
      <c r="C111" s="85" t="s">
        <v>189</v>
      </c>
      <c r="D111" s="556"/>
      <c r="E111" s="290"/>
      <c r="F111" s="334">
        <f>E111*kütus_bensiin_kaubik_2028/1000</f>
        <v>0</v>
      </c>
      <c r="G111" s="294"/>
      <c r="H111" s="283">
        <f>G111*transport_kaubik_bensiin_km_2028/1000</f>
        <v>0</v>
      </c>
      <c r="I111" s="336"/>
      <c r="J111" s="334">
        <f>I111*transport_kaubik_bensiin_tonnkm_2028/1000</f>
        <v>0</v>
      </c>
      <c r="K111" s="288">
        <f>SUM(F111+H111+J111)</f>
        <v>0</v>
      </c>
    </row>
    <row r="112" spans="2:11" ht="14.85" customHeight="1" x14ac:dyDescent="0.25">
      <c r="B112" s="104"/>
      <c r="C112" s="85" t="s">
        <v>190</v>
      </c>
      <c r="D112" s="556"/>
      <c r="E112" s="290"/>
      <c r="F112" s="334">
        <f>E112*kütus_diisel_kaubik_2028/1000</f>
        <v>0</v>
      </c>
      <c r="G112" s="294"/>
      <c r="H112" s="283">
        <f>G112*transport_kaubik_diisel_km_2028/1000</f>
        <v>0</v>
      </c>
      <c r="I112" s="336"/>
      <c r="J112" s="334">
        <f>I112*transport_kaubik_diisel_tonnkm_2028/1000</f>
        <v>0</v>
      </c>
      <c r="K112" s="288">
        <f t="shared" ref="K112:K114" si="6">SUM(F112+H112+J112)</f>
        <v>0</v>
      </c>
    </row>
    <row r="113" spans="2:11" ht="14.85" customHeight="1" x14ac:dyDescent="0.25">
      <c r="B113" s="104"/>
      <c r="C113" s="103" t="s">
        <v>191</v>
      </c>
      <c r="D113" s="556"/>
      <c r="E113" s="290"/>
      <c r="F113" s="334">
        <f>E113*kütus_taastuvelekter/1000</f>
        <v>0</v>
      </c>
      <c r="G113" s="294"/>
      <c r="H113" s="283">
        <f>G113*kütus_taastuvelekter/1000</f>
        <v>0</v>
      </c>
      <c r="I113" s="336"/>
      <c r="J113" s="334">
        <f>I113*kütus_taastuvelekter/1000</f>
        <v>0</v>
      </c>
      <c r="K113" s="288">
        <f t="shared" si="6"/>
        <v>0</v>
      </c>
    </row>
    <row r="114" spans="2:11" ht="14.85" customHeight="1" x14ac:dyDescent="0.25">
      <c r="B114" s="104"/>
      <c r="C114" s="103" t="s">
        <v>192</v>
      </c>
      <c r="D114" s="556"/>
      <c r="E114" s="290"/>
      <c r="F114" s="334">
        <f>E114*segajääk_2028/1000</f>
        <v>0</v>
      </c>
      <c r="G114" s="294"/>
      <c r="H114" s="283">
        <f>G114*transport_kaubik_tavaelekter_km_2028/1000</f>
        <v>0</v>
      </c>
      <c r="I114" s="336"/>
      <c r="J114" s="334">
        <f>I114*transport_kaubik_tavaelekter_tonnkm_2028/1000</f>
        <v>0</v>
      </c>
      <c r="K114" s="288">
        <f t="shared" si="6"/>
        <v>0</v>
      </c>
    </row>
    <row r="115" spans="2:11" ht="14.85" customHeight="1" x14ac:dyDescent="0.25">
      <c r="B115" s="104"/>
      <c r="C115" s="293" t="s">
        <v>193</v>
      </c>
      <c r="D115" s="544"/>
      <c r="E115" s="541"/>
      <c r="F115" s="542"/>
      <c r="G115" s="541"/>
      <c r="H115" s="543"/>
      <c r="I115" s="303"/>
      <c r="J115" s="304"/>
      <c r="K115" s="544"/>
    </row>
    <row r="116" spans="2:11" ht="14.85" customHeight="1" x14ac:dyDescent="0.25">
      <c r="B116" s="104"/>
      <c r="C116" s="85" t="s">
        <v>194</v>
      </c>
      <c r="D116" s="556"/>
      <c r="E116" s="282"/>
      <c r="F116" s="334">
        <f>E116*kütus_diisel_buss_2028/1000</f>
        <v>0</v>
      </c>
      <c r="G116" s="286"/>
      <c r="H116" s="283">
        <f>G116*transport_buss_2028/1000</f>
        <v>0</v>
      </c>
      <c r="I116" s="337"/>
      <c r="J116" s="345"/>
      <c r="K116" s="289">
        <f>SUM(F116+H116)</f>
        <v>0</v>
      </c>
    </row>
    <row r="117" spans="2:11" ht="14.85" customHeight="1" thickBot="1" x14ac:dyDescent="0.3">
      <c r="B117" s="106"/>
      <c r="C117" s="307" t="s">
        <v>195</v>
      </c>
      <c r="D117" s="557"/>
      <c r="E117" s="284"/>
      <c r="F117" s="335">
        <f>E117*kütus_diisel_kaubik_2028/1000</f>
        <v>0</v>
      </c>
      <c r="G117" s="339"/>
      <c r="H117" s="340">
        <f>IFERROR(G117*transport_väikebuss_2028/1000,0)</f>
        <v>0</v>
      </c>
      <c r="I117" s="338"/>
      <c r="J117" s="346"/>
      <c r="K117" s="342">
        <f>SUM(F117+H117)</f>
        <v>0</v>
      </c>
    </row>
    <row r="118" spans="2:11" ht="14.85" customHeight="1" thickBot="1" x14ac:dyDescent="0.3">
      <c r="B118" s="549"/>
      <c r="C118" s="332" t="s">
        <v>196</v>
      </c>
      <c r="D118" s="553"/>
      <c r="E118" s="546"/>
      <c r="F118" s="547"/>
      <c r="G118" s="547"/>
      <c r="H118" s="547"/>
      <c r="I118" s="547"/>
      <c r="J118" s="548"/>
      <c r="K118" s="554">
        <f>SUM(K111:K114,K116:K117,D118)</f>
        <v>0</v>
      </c>
    </row>
  </sheetData>
  <mergeCells count="93">
    <mergeCell ref="E41:F41"/>
    <mergeCell ref="G41:H41"/>
    <mergeCell ref="G57:H57"/>
    <mergeCell ref="I57:J57"/>
    <mergeCell ref="E73:F73"/>
    <mergeCell ref="G73:H73"/>
    <mergeCell ref="I73:J73"/>
    <mergeCell ref="E57:F57"/>
    <mergeCell ref="D11:D13"/>
    <mergeCell ref="D26:D28"/>
    <mergeCell ref="D42:D44"/>
    <mergeCell ref="D58:D60"/>
    <mergeCell ref="D74:D76"/>
    <mergeCell ref="H74:H76"/>
    <mergeCell ref="I74:I76"/>
    <mergeCell ref="J74:J76"/>
    <mergeCell ref="K74:K76"/>
    <mergeCell ref="B90:B93"/>
    <mergeCell ref="C90:C93"/>
    <mergeCell ref="D90:D92"/>
    <mergeCell ref="J90:J92"/>
    <mergeCell ref="K90:K92"/>
    <mergeCell ref="B74:B77"/>
    <mergeCell ref="C74:C77"/>
    <mergeCell ref="E74:E76"/>
    <mergeCell ref="F74:F76"/>
    <mergeCell ref="G74:G76"/>
    <mergeCell ref="E90:E92"/>
    <mergeCell ref="F90:F92"/>
    <mergeCell ref="H106:H108"/>
    <mergeCell ref="I106:I108"/>
    <mergeCell ref="J106:J108"/>
    <mergeCell ref="K106:K108"/>
    <mergeCell ref="B106:B109"/>
    <mergeCell ref="C106:C109"/>
    <mergeCell ref="E106:E108"/>
    <mergeCell ref="F106:F108"/>
    <mergeCell ref="G106:G108"/>
    <mergeCell ref="D106:D108"/>
    <mergeCell ref="G90:G92"/>
    <mergeCell ref="H90:H92"/>
    <mergeCell ref="I90:I92"/>
    <mergeCell ref="E89:F89"/>
    <mergeCell ref="G89:H89"/>
    <mergeCell ref="I89:J89"/>
    <mergeCell ref="B58:B61"/>
    <mergeCell ref="C58:C61"/>
    <mergeCell ref="E58:E60"/>
    <mergeCell ref="F58:F60"/>
    <mergeCell ref="G58:G60"/>
    <mergeCell ref="B42:B45"/>
    <mergeCell ref="C42:C45"/>
    <mergeCell ref="E42:E44"/>
    <mergeCell ref="F42:F44"/>
    <mergeCell ref="G42:G44"/>
    <mergeCell ref="K42:K44"/>
    <mergeCell ref="I42:I44"/>
    <mergeCell ref="J42:J44"/>
    <mergeCell ref="I41:J41"/>
    <mergeCell ref="H58:H60"/>
    <mergeCell ref="I58:I60"/>
    <mergeCell ref="J58:J60"/>
    <mergeCell ref="K58:K60"/>
    <mergeCell ref="H42:H44"/>
    <mergeCell ref="J26:J28"/>
    <mergeCell ref="K26:K28"/>
    <mergeCell ref="E11:E13"/>
    <mergeCell ref="F11:F13"/>
    <mergeCell ref="G11:G13"/>
    <mergeCell ref="H11:H13"/>
    <mergeCell ref="I11:I13"/>
    <mergeCell ref="J11:J13"/>
    <mergeCell ref="E26:E28"/>
    <mergeCell ref="F26:F28"/>
    <mergeCell ref="G26:G28"/>
    <mergeCell ref="H26:H28"/>
    <mergeCell ref="I26:I28"/>
    <mergeCell ref="E105:F105"/>
    <mergeCell ref="G105:H105"/>
    <mergeCell ref="I105:J105"/>
    <mergeCell ref="B3:K3"/>
    <mergeCell ref="B4:K4"/>
    <mergeCell ref="E10:F10"/>
    <mergeCell ref="G10:H10"/>
    <mergeCell ref="I10:J10"/>
    <mergeCell ref="E25:F25"/>
    <mergeCell ref="G25:H25"/>
    <mergeCell ref="I25:J25"/>
    <mergeCell ref="B11:B14"/>
    <mergeCell ref="C11:C14"/>
    <mergeCell ref="K11:K13"/>
    <mergeCell ref="B26:B29"/>
    <mergeCell ref="C26:C29"/>
  </mergeCells>
  <pageMargins left="0.70866141732283472" right="0.70866141732283472" top="0.74803149606299213" bottom="0.74803149606299213" header="0.31496062992125984" footer="0.31496062992125984"/>
  <pageSetup scale="6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4B084"/>
  </sheetPr>
  <dimension ref="B1:AH46"/>
  <sheetViews>
    <sheetView showGridLines="0" zoomScaleNormal="100" zoomScaleSheetLayoutView="100" workbookViewId="0">
      <pane xSplit="1" ySplit="1" topLeftCell="B4" activePane="bottomRight" state="frozen"/>
      <selection pane="topRight" activeCell="B1" sqref="B1"/>
      <selection pane="bottomLeft" activeCell="A3" sqref="A3"/>
      <selection pane="bottomRight" activeCell="J19" sqref="J19"/>
    </sheetView>
  </sheetViews>
  <sheetFormatPr defaultRowHeight="15" x14ac:dyDescent="0.25"/>
  <cols>
    <col min="1" max="1" width="2.5703125" customWidth="1"/>
    <col min="2" max="2" width="56.5703125" customWidth="1"/>
    <col min="3" max="7" width="9.42578125" style="39" customWidth="1"/>
    <col min="8" max="8" width="9.42578125" style="63" customWidth="1"/>
    <col min="9" max="9" width="9.42578125" style="63"/>
    <col min="12" max="12" width="8.5703125" customWidth="1"/>
    <col min="15" max="15" width="10" bestFit="1" customWidth="1"/>
    <col min="26" max="26" width="17" customWidth="1"/>
  </cols>
  <sheetData>
    <row r="1" spans="2:11" ht="18.75" x14ac:dyDescent="0.3">
      <c r="B1" s="25" t="s">
        <v>198</v>
      </c>
    </row>
    <row r="2" spans="2:11" x14ac:dyDescent="0.25">
      <c r="B2" s="22"/>
      <c r="K2" s="49"/>
    </row>
    <row r="3" spans="2:11" ht="69" customHeight="1" x14ac:dyDescent="0.25">
      <c r="B3" s="656" t="s">
        <v>199</v>
      </c>
      <c r="C3" s="680"/>
      <c r="D3" s="680"/>
      <c r="E3" s="680"/>
      <c r="F3" s="680"/>
      <c r="G3" s="680"/>
      <c r="H3" s="680"/>
      <c r="I3" s="681"/>
    </row>
    <row r="4" spans="2:11" x14ac:dyDescent="0.25">
      <c r="B4" s="35"/>
      <c r="C4" s="65"/>
      <c r="D4" s="65"/>
    </row>
    <row r="5" spans="2:11" ht="15.75" x14ac:dyDescent="0.25">
      <c r="B5" s="210" t="s">
        <v>200</v>
      </c>
      <c r="C5" s="80"/>
    </row>
    <row r="6" spans="2:11" ht="16.5" thickBot="1" x14ac:dyDescent="0.3">
      <c r="B6" s="199"/>
      <c r="C6" s="80"/>
      <c r="D6" s="80"/>
      <c r="F6" s="381"/>
    </row>
    <row r="7" spans="2:11" ht="16.5" thickBot="1" x14ac:dyDescent="0.3">
      <c r="B7" s="270"/>
      <c r="C7" s="50">
        <f>ÜLDANDMED!C10</f>
        <v>2022</v>
      </c>
      <c r="D7" s="50">
        <f>ÜLDANDMED!D10</f>
        <v>2023</v>
      </c>
      <c r="E7" s="50">
        <f>ÜLDANDMED!E10</f>
        <v>2024</v>
      </c>
      <c r="F7" s="50">
        <f>ÜLDANDMED!F10</f>
        <v>2025</v>
      </c>
      <c r="G7" s="50">
        <f>ÜLDANDMED!G10</f>
        <v>2026</v>
      </c>
      <c r="H7" s="50">
        <f>ÜLDANDMED!H10</f>
        <v>2027</v>
      </c>
      <c r="I7" s="50">
        <f>ÜLDANDMED!I10</f>
        <v>2028</v>
      </c>
    </row>
    <row r="8" spans="2:11" x14ac:dyDescent="0.25">
      <c r="B8" s="502" t="s">
        <v>201</v>
      </c>
      <c r="C8" s="248">
        <f>'KHG_OMA SÕIDUKID M1'!E18</f>
        <v>0</v>
      </c>
      <c r="D8" s="248">
        <f>'KHG_OMA SÕIDUKID M1'!E31</f>
        <v>0</v>
      </c>
      <c r="E8" s="248">
        <f>'KHG_OMA SÕIDUKID M1'!E44</f>
        <v>0</v>
      </c>
      <c r="F8" s="248">
        <f>'KHG_OMA SÕIDUKID M1'!E57</f>
        <v>0</v>
      </c>
      <c r="G8" s="248">
        <f>'KHG_OMA SÕIDUKID M1'!E70</f>
        <v>0</v>
      </c>
      <c r="H8" s="248">
        <f>'KHG_OMA SÕIDUKID M1'!E83</f>
        <v>0</v>
      </c>
      <c r="I8" s="248">
        <f>'KHG_OMA SÕIDUKID M1'!E96</f>
        <v>0</v>
      </c>
    </row>
    <row r="9" spans="2:11" ht="15.75" thickBot="1" x14ac:dyDescent="0.3">
      <c r="B9" s="500" t="s">
        <v>202</v>
      </c>
      <c r="C9" s="501">
        <f>'KHG_HAJUSHEITMED M1'!F26</f>
        <v>0</v>
      </c>
      <c r="D9" s="501">
        <f>'KHG_HAJUSHEITMED M1'!F45</f>
        <v>0</v>
      </c>
      <c r="E9" s="501">
        <f>'KHG_HAJUSHEITMED M1'!F64</f>
        <v>0</v>
      </c>
      <c r="F9" s="501">
        <f>'KHG_HAJUSHEITMED M1'!F83</f>
        <v>0</v>
      </c>
      <c r="G9" s="501">
        <f>'KHG_HAJUSHEITMED M1'!F102</f>
        <v>0</v>
      </c>
      <c r="H9" s="501">
        <f>'KHG_HAJUSHEITMED M1'!F121</f>
        <v>0</v>
      </c>
      <c r="I9" s="501">
        <f>'KHG_HAJUSHEITMED M1'!F140</f>
        <v>0</v>
      </c>
    </row>
    <row r="10" spans="2:11" ht="15.75" thickBot="1" x14ac:dyDescent="0.3">
      <c r="B10" s="208" t="s">
        <v>203</v>
      </c>
      <c r="C10" s="209">
        <f t="shared" ref="C10:I10" si="0">SUM(C8+C9)</f>
        <v>0</v>
      </c>
      <c r="D10" s="209">
        <f t="shared" si="0"/>
        <v>0</v>
      </c>
      <c r="E10" s="209">
        <f t="shared" si="0"/>
        <v>0</v>
      </c>
      <c r="F10" s="209">
        <f t="shared" si="0"/>
        <v>0</v>
      </c>
      <c r="G10" s="209">
        <f t="shared" si="0"/>
        <v>0</v>
      </c>
      <c r="H10" s="209">
        <f t="shared" si="0"/>
        <v>0</v>
      </c>
      <c r="I10" s="209">
        <f t="shared" si="0"/>
        <v>0</v>
      </c>
    </row>
    <row r="11" spans="2:11" ht="16.5" thickBot="1" x14ac:dyDescent="0.3">
      <c r="B11" s="263"/>
      <c r="I11" s="264"/>
      <c r="K11" s="17"/>
    </row>
    <row r="12" spans="2:11" ht="15.75" thickBot="1" x14ac:dyDescent="0.3">
      <c r="B12" s="265"/>
      <c r="C12" s="50">
        <f>ÜLDANDMED!C10</f>
        <v>2022</v>
      </c>
      <c r="D12" s="50">
        <f>ÜLDANDMED!D10</f>
        <v>2023</v>
      </c>
      <c r="E12" s="50">
        <f>ÜLDANDMED!E10</f>
        <v>2024</v>
      </c>
      <c r="F12" s="50">
        <f>ÜLDANDMED!F10</f>
        <v>2025</v>
      </c>
      <c r="G12" s="50">
        <f>ÜLDANDMED!G10</f>
        <v>2026</v>
      </c>
      <c r="H12" s="50">
        <f>ÜLDANDMED!H10</f>
        <v>2027</v>
      </c>
      <c r="I12" s="50">
        <f>ÜLDANDMED!I10</f>
        <v>2028</v>
      </c>
      <c r="K12" s="17"/>
    </row>
    <row r="13" spans="2:11" x14ac:dyDescent="0.25">
      <c r="B13" s="214" t="s">
        <v>204</v>
      </c>
      <c r="C13" s="219">
        <f>(ELEKTER!P12*(1-ELEKTER!Q12))*segajääk_2022/1000</f>
        <v>0</v>
      </c>
      <c r="D13" s="220">
        <f>(ELEKTER!P17*(1-ELEKTER!Q17))*segajääk_2023/1000</f>
        <v>0</v>
      </c>
      <c r="E13" s="220">
        <f>(ELEKTER!P22*(1-ELEKTER!Q22))*segajääk_2024/1000</f>
        <v>0</v>
      </c>
      <c r="F13" s="220">
        <f>(ELEKTER!P27*(1-ELEKTER!Q27))*segajääk_2025/1000</f>
        <v>0</v>
      </c>
      <c r="G13" s="220">
        <f>(ELEKTER!P32*(1-ELEKTER!Q32))*segajääk_2026/1000</f>
        <v>0</v>
      </c>
      <c r="H13" s="220">
        <f>(ELEKTER!P37*(1-ELEKTER!Q37))*segajääk_2027/1000</f>
        <v>0</v>
      </c>
      <c r="I13" s="220">
        <f>(ELEKTER!P42*(1-ELEKTER!Q42))*segajääk_2028/1000</f>
        <v>0</v>
      </c>
    </row>
    <row r="14" spans="2:11" x14ac:dyDescent="0.25">
      <c r="B14" s="278" t="s">
        <v>205</v>
      </c>
      <c r="C14" s="271">
        <f>IF(ISBLANK(SOOJUS!Q15),SOOJUS!P15*(IF(SOOJUS!S15="Biomass/puit",lokaalküte_biomass_2022,IF(SOOJUS!S15="Freesturvas",lokaalküte_freesturvas_2022,IF(SOOJUS!S15="kütteõli",lokaalküte_kütteõli_2022,IF(SOOJUS!S15="maagaas",lokaalküte_maagaas_2022,IF(SOOJUS!S15="põlevkiviõli",lokaalküte_põlevkiviõli_2022))))))/1000,SOOJUS!P15*SOOJUS!R15/1000)</f>
        <v>0</v>
      </c>
      <c r="D14" s="215">
        <f>IF(ISBLANK(SOOJUS!Q17),(SOOJUS!P17*(IF(SOOJUS!S17="biomass/puit",lokaalküte_biomass_2023,IF(SOOJUS!S17="freesturvas",lokaalküte_freesturvas_2023,IF(SOOJUS!S17="kütteõli",lokaalküte_kütteõli_2023,IF(SOOJUS!S17="maagaas",lokaalküte_maagaas_2023,IF(SOOJUS!S17="põlevkiviõli",lokaalküte_põlevkiviõli_2023)))))))/1000,SOOJUS!P17*SOOJUS!R17/1000)</f>
        <v>0</v>
      </c>
      <c r="E14" s="215">
        <f>IF(ISBLANK(SOOJUS!Q19),(SOOJUS!P19*(IF(SOOJUS!S19="biomass/puit",lokaalküte_biomass_2024,IF(SOOJUS!S19="freesturvas",lokaalküte_freesturvas_2024,IF(SOOJUS!S19="kütteõli",lokaalküte_kütteõli_2024,IF(SOOJUS!S19="maagaas",lokaalküte_maagaas_2024,IF(SOOJUS!S19="põlevkiviõli",lokaalküte_põlevkiviõli_2024)))))))/1000,SOOJUS!P19*SOOJUS!R19/1000)</f>
        <v>0</v>
      </c>
      <c r="F14" s="215">
        <f>IF(ISBLANK(SOOJUS!Q21),(SOOJUS!P21*(IF(SOOJUS!S21="biomass/puit",lokaalküte_biomass_2025,IF(SOOJUS!S21="freesturvas",lokaalküte_freesturvas_2025,IF(SOOJUS!S21="kütteõli",lokaalküte_kütteõli_2025,IF(SOOJUS!S21="maagaas",lokaalküte_maagaas_2025,IF(SOOJUS!S21="põlevkiviõli",lokaalküte_põlevkiviõli_2025)))))))/1000,SOOJUS!P21*SOOJUS!R21/1000)</f>
        <v>0</v>
      </c>
      <c r="G14" s="215">
        <f>IF(ISBLANK(SOOJUS!Q23),(SOOJUS!P23*(IF(SOOJUS!S23="biomass/puit",lokaalküte_biomass_2026,IF(SOOJUS!S23="freesturvas",lokaalküte_freesturvas_2026,IF(SOOJUS!S23="kütteõli",lokaalküte_kütteõli_2026,IF(SOOJUS!S23="maagaas",lokaalküte_maagaas_2026,IF(SOOJUS!S23="põlevkiviõli",lokaalküte_põlevkiviõli_2026)))))))/1000,SOOJUS!P23*SOOJUS!R23/1000)</f>
        <v>0</v>
      </c>
      <c r="H14" s="215">
        <f>IF(ISBLANK(SOOJUS!Q25),(SOOJUS!P25*(IF(SOOJUS!S25="biomass/puit",lokaalküte_biomass_2027,IF(SOOJUS!S25="freesturvas",lokaalküte_freesturvas_2027,IF(SOOJUS!S25="kütteõli",lokaalküte_kütteõli_2027,IF(SOOJUS!S25="maagaas",lokaalküte_maagaas_2027,IF(SOOJUS!S25="põlevkiviõli",lokaalküte_põlevkiviõli_2027)))))))/1000,SOOJUS!P25*SOOJUS!R25/1000)</f>
        <v>0</v>
      </c>
      <c r="I14" s="215">
        <f>IF(ISBLANK(SOOJUS!Q27),(SOOJUS!P27*(IF(SOOJUS!S27="biomass/puit",lokaalküte_biomass_2028,IF(SOOJUS!S27="freesturvas",lokaalküte_freesturvas_2028,IF(SOOJUS!S27="kütteõli",lokaalküte_kütteõli_2028,IF(SOOJUS!S27="maagaas",lokaalküte_maagaas_2028,IF(SOOJUS!S27="põlevkiviõli",lokaalküte_põlevkiviõli_2028)))))))/1000,SOOJUS!P27*SOOJUS!R27/1000)</f>
        <v>0</v>
      </c>
    </row>
    <row r="15" spans="2:11" ht="15" customHeight="1" thickBot="1" x14ac:dyDescent="0.3">
      <c r="B15" s="216" t="s">
        <v>206</v>
      </c>
      <c r="C15" s="272">
        <f>'KHG_OMA SÕIDUKID M1'!E19</f>
        <v>0</v>
      </c>
      <c r="D15" s="217">
        <f>'KHG_OMA SÕIDUKID M1'!E32</f>
        <v>0</v>
      </c>
      <c r="E15" s="217">
        <f>'KHG_OMA SÕIDUKID M1'!E45</f>
        <v>0</v>
      </c>
      <c r="F15" s="217">
        <f>'KHG_OMA SÕIDUKID M1'!E58</f>
        <v>0</v>
      </c>
      <c r="G15" s="218">
        <f>'KHG_OMA SÕIDUKID M1'!E71</f>
        <v>0</v>
      </c>
      <c r="H15" s="217">
        <f>'KHG_OMA SÕIDUKID M1'!E84</f>
        <v>0</v>
      </c>
      <c r="I15" s="217">
        <f>'KHG_OMA SÕIDUKID M1'!E97</f>
        <v>0</v>
      </c>
    </row>
    <row r="16" spans="2:11" ht="15.75" thickBot="1" x14ac:dyDescent="0.3">
      <c r="B16" s="119" t="s">
        <v>207</v>
      </c>
      <c r="C16" s="209">
        <f>SUM(C13:C15)</f>
        <v>0</v>
      </c>
      <c r="D16" s="115">
        <f t="shared" ref="D16:I16" si="1">SUM(D13:D15)</f>
        <v>0</v>
      </c>
      <c r="E16" s="115">
        <f t="shared" si="1"/>
        <v>0</v>
      </c>
      <c r="F16" s="115">
        <f t="shared" si="1"/>
        <v>0</v>
      </c>
      <c r="G16" s="115">
        <f t="shared" si="1"/>
        <v>0</v>
      </c>
      <c r="H16" s="115">
        <f t="shared" si="1"/>
        <v>0</v>
      </c>
      <c r="I16" s="115">
        <f t="shared" si="1"/>
        <v>0</v>
      </c>
    </row>
    <row r="17" spans="2:34" ht="15.75" thickBot="1" x14ac:dyDescent="0.3">
      <c r="B17" s="266"/>
      <c r="I17" s="267"/>
      <c r="M17" s="27"/>
    </row>
    <row r="18" spans="2:34" ht="15.75" thickBot="1" x14ac:dyDescent="0.3">
      <c r="B18" s="268"/>
      <c r="C18" s="82">
        <f>ÜLDANDMED!C10</f>
        <v>2022</v>
      </c>
      <c r="D18" s="82">
        <f>ÜLDANDMED!D10</f>
        <v>2023</v>
      </c>
      <c r="E18" s="82">
        <f>ÜLDANDMED!E10</f>
        <v>2024</v>
      </c>
      <c r="F18" s="82">
        <f>ÜLDANDMED!F10</f>
        <v>2025</v>
      </c>
      <c r="G18" s="82">
        <f>ÜLDANDMED!G10</f>
        <v>2026</v>
      </c>
      <c r="H18" s="82">
        <f>ÜLDANDMED!H10</f>
        <v>2027</v>
      </c>
      <c r="I18" s="82">
        <f>ÜLDANDMED!I10</f>
        <v>2028</v>
      </c>
    </row>
    <row r="19" spans="2:34" x14ac:dyDescent="0.25">
      <c r="B19" s="213" t="s">
        <v>208</v>
      </c>
      <c r="C19" s="274">
        <f>(ELEKTER!P14*(1-ELEKTER!R14))*segajääk_2022/1000</f>
        <v>0</v>
      </c>
      <c r="D19" s="275">
        <f>(ELEKTER!P19*(1-ELEKTER!R19))*segajääk_2023/1000</f>
        <v>0</v>
      </c>
      <c r="E19" s="275">
        <f>(ELEKTER!P24*(1-ELEKTER!R24))*segajääk_2024/1000</f>
        <v>0</v>
      </c>
      <c r="F19" s="275">
        <f>(ELEKTER!P29*(1-ELEKTER!R29))*segajääk_2025/1000</f>
        <v>0</v>
      </c>
      <c r="G19" s="275">
        <f>(ELEKTER!P34*(1-ELEKTER!R34))*segajääk_2026/1000</f>
        <v>0</v>
      </c>
      <c r="H19" s="275">
        <f>(ELEKTER!P39*(1-ELEKTER!R39))*segajääk_2027/1000</f>
        <v>0</v>
      </c>
      <c r="I19" s="275">
        <f>(ELEKTER!P44*(1-ELEKTER!R44))*segajääk_2028/1000</f>
        <v>0</v>
      </c>
    </row>
    <row r="20" spans="2:34" x14ac:dyDescent="0.25">
      <c r="B20" s="222" t="s">
        <v>209</v>
      </c>
      <c r="C20" s="223">
        <f>'KHG_TÖÖREISID M3'!E29</f>
        <v>0</v>
      </c>
      <c r="D20" s="223">
        <f>'KHG_TÖÖREISID M3'!E52</f>
        <v>0</v>
      </c>
      <c r="E20" s="223">
        <f>'KHG_TÖÖREISID M3'!E75</f>
        <v>0</v>
      </c>
      <c r="F20" s="223">
        <f>'KHG_TÖÖREISID M3'!E98</f>
        <v>0</v>
      </c>
      <c r="G20" s="223">
        <f>'KHG_TÖÖREISID M3'!E121</f>
        <v>0</v>
      </c>
      <c r="H20" s="223">
        <f>'KHG_TÖÖREISID M3'!E144</f>
        <v>0</v>
      </c>
      <c r="I20" s="224">
        <f>'KHG_TÖÖREISID M3'!E167</f>
        <v>0</v>
      </c>
      <c r="K20" s="91"/>
      <c r="L20" s="91"/>
    </row>
    <row r="21" spans="2:34" x14ac:dyDescent="0.25">
      <c r="B21" s="228" t="s">
        <v>210</v>
      </c>
      <c r="C21" s="227">
        <f>'KHG_TÖÖLE-KOJU M3'!E32</f>
        <v>0</v>
      </c>
      <c r="D21" s="227">
        <f>'KHG_TÖÖLE-KOJU M3'!E58</f>
        <v>0</v>
      </c>
      <c r="E21" s="227">
        <f>'KHG_TÖÖLE-KOJU M3'!E84</f>
        <v>0</v>
      </c>
      <c r="F21" s="227">
        <f>'KHG_TÖÖLE-KOJU M3'!E110</f>
        <v>0</v>
      </c>
      <c r="G21" s="227">
        <f>'KHG_TÖÖLE-KOJU M3'!E136</f>
        <v>0</v>
      </c>
      <c r="H21" s="227">
        <f>'KHG_TÖÖLE-KOJU M3'!E162</f>
        <v>0</v>
      </c>
      <c r="I21" s="227">
        <f>'KHG_TÖÖLE-KOJU M3'!E188</f>
        <v>0</v>
      </c>
      <c r="K21" s="110"/>
    </row>
    <row r="22" spans="2:34" x14ac:dyDescent="0.25">
      <c r="B22" s="225" t="s">
        <v>211</v>
      </c>
      <c r="C22" s="226">
        <f>'KHG_TRANSPORDITEENUS M3'!K23</f>
        <v>0</v>
      </c>
      <c r="D22" s="226">
        <f>'KHG_TRANSPORDITEENUS M3'!K38</f>
        <v>0</v>
      </c>
      <c r="E22" s="226">
        <f>'KHG_TRANSPORDITEENUS M3'!K54</f>
        <v>0</v>
      </c>
      <c r="F22" s="226">
        <f>'KHG_TRANSPORDITEENUS M3'!K70</f>
        <v>0</v>
      </c>
      <c r="G22" s="226">
        <f>'KHG_TRANSPORDITEENUS M3'!K86</f>
        <v>0</v>
      </c>
      <c r="H22" s="226">
        <f>'KHG_TRANSPORDITEENUS M3'!K102</f>
        <v>0</v>
      </c>
      <c r="I22" s="226">
        <f>'KHG_TRANSPORDITEENUS M3'!K118</f>
        <v>0</v>
      </c>
      <c r="K22" s="110"/>
      <c r="AA22" s="2">
        <v>2022</v>
      </c>
      <c r="AB22" s="2">
        <v>2023</v>
      </c>
      <c r="AC22" s="2">
        <v>2024</v>
      </c>
      <c r="AD22" s="2">
        <v>2025</v>
      </c>
      <c r="AE22" s="2">
        <v>2026</v>
      </c>
      <c r="AF22" s="2">
        <v>2027</v>
      </c>
      <c r="AG22" s="2">
        <v>2028</v>
      </c>
      <c r="AH22" s="2" t="s">
        <v>212</v>
      </c>
    </row>
    <row r="23" spans="2:34" x14ac:dyDescent="0.25">
      <c r="B23" s="228" t="s">
        <v>213</v>
      </c>
      <c r="C23" s="226">
        <f>(VESI!P11*vesi_2022)/1000</f>
        <v>0</v>
      </c>
      <c r="D23" s="226">
        <f>(VESI!P13*vesi_2023)/1000</f>
        <v>0</v>
      </c>
      <c r="E23" s="226">
        <f>(VESI!P15*vesi_2024)/1000</f>
        <v>0</v>
      </c>
      <c r="F23" s="226">
        <f>(VESI!P17*vesi_2025)/1000</f>
        <v>0</v>
      </c>
      <c r="G23" s="226">
        <f>(VESI!P19*vesi_2026)/1000</f>
        <v>0</v>
      </c>
      <c r="H23" s="226">
        <f>(VESI!P21*vesi_2027)/1000</f>
        <v>0</v>
      </c>
      <c r="I23" s="226">
        <f>(VESI!P23*vesi_2028)/1000</f>
        <v>0</v>
      </c>
      <c r="Y23" s="2" t="s">
        <v>214</v>
      </c>
      <c r="Z23" s="21" t="s">
        <v>215</v>
      </c>
      <c r="AA23" s="236" t="e">
        <f>C8/C33</f>
        <v>#DIV/0!</v>
      </c>
      <c r="AB23" s="236" t="e">
        <f t="shared" ref="AB23:AG23" si="2">D8/D33</f>
        <v>#DIV/0!</v>
      </c>
      <c r="AC23" s="236" t="e">
        <f t="shared" si="2"/>
        <v>#DIV/0!</v>
      </c>
      <c r="AD23" s="236" t="e">
        <f t="shared" si="2"/>
        <v>#DIV/0!</v>
      </c>
      <c r="AE23" s="236" t="e">
        <f t="shared" si="2"/>
        <v>#DIV/0!</v>
      </c>
      <c r="AF23" s="236" t="e">
        <f t="shared" si="2"/>
        <v>#DIV/0!</v>
      </c>
      <c r="AG23" s="236" t="e">
        <f t="shared" si="2"/>
        <v>#DIV/0!</v>
      </c>
      <c r="AH23" s="237" t="e">
        <f ca="1">OFFSET(Z23,,MATCH('KHG JALAJÄLG KOOND'!$Q$45,$AA$22:$AG$22,0))</f>
        <v>#DIV/0!</v>
      </c>
    </row>
    <row r="24" spans="2:34" x14ac:dyDescent="0.25">
      <c r="B24" s="221" t="s">
        <v>216</v>
      </c>
      <c r="C24" s="509">
        <f>(PABER!D20*paber_2022/1000)+(PABER!D21*lehträtik/1000)+(PABER!D23*tualettpaber/1000)</f>
        <v>0</v>
      </c>
      <c r="D24" s="509">
        <f>(PABER!D28*paber_2023/1000)+(PABER!D29*lehträtik/1000)+(PABER!D31*tualettpaber/1000)</f>
        <v>0</v>
      </c>
      <c r="E24" s="509">
        <f>(PABER!D36*paber_2024/1000)+(PABER!D37*lehträtik/1000)+(PABER!D39*tualettpaber/1000)</f>
        <v>0</v>
      </c>
      <c r="F24" s="509">
        <f>(PABER!D44*paber_2025/1000)+(PABER!D45*lehträtik/1000)+(PABER!D47*tualettpaber/1000)</f>
        <v>0</v>
      </c>
      <c r="G24" s="509">
        <f>(PABER!D52*paber_2026/1000)+(PABER!D53*lehträtik/1000)+(PABER!D55*tualettpaber/1000)</f>
        <v>0</v>
      </c>
      <c r="H24" s="509">
        <f>(PABER!D60*paber_2027/1000)+(PABER!D61*lehträtik/1000)+(PABER!D63*tualettpaber/1000)</f>
        <v>0</v>
      </c>
      <c r="I24" s="509">
        <f>(PABER!D68*paber_2028/1000)+(PABER!D69*lehträtik/1000)+(PABER!D71*tualettpaber/1000)</f>
        <v>0</v>
      </c>
      <c r="Z24" s="21" t="s">
        <v>217</v>
      </c>
      <c r="AA24" s="236" t="e">
        <f>C9/C33</f>
        <v>#DIV/0!</v>
      </c>
      <c r="AB24" s="236" t="e">
        <f t="shared" ref="AB24:AG24" si="3">D9/D33</f>
        <v>#DIV/0!</v>
      </c>
      <c r="AC24" s="236" t="e">
        <f t="shared" si="3"/>
        <v>#DIV/0!</v>
      </c>
      <c r="AD24" s="236" t="e">
        <f t="shared" si="3"/>
        <v>#DIV/0!</v>
      </c>
      <c r="AE24" s="236" t="e">
        <f t="shared" si="3"/>
        <v>#DIV/0!</v>
      </c>
      <c r="AF24" s="236" t="e">
        <f t="shared" si="3"/>
        <v>#DIV/0!</v>
      </c>
      <c r="AG24" s="236" t="e">
        <f t="shared" si="3"/>
        <v>#DIV/0!</v>
      </c>
      <c r="AH24" s="237" t="e">
        <f ca="1">OFFSET(Z24,,MATCH('KHG JALAJÄLG KOOND'!$Q$45,$AA$22:$AG$22,0))</f>
        <v>#DIV/0!</v>
      </c>
    </row>
    <row r="25" spans="2:34" ht="15.75" thickBot="1" x14ac:dyDescent="0.3">
      <c r="B25" s="373" t="s">
        <v>218</v>
      </c>
      <c r="C25" s="224">
        <f>((JÄÄTMED!P18/1000*jäätmed_biojäätmed)+(JÄÄTMED!P19/1000*jäätmed_biojäätmed)+(JÄÄTMED!P21/1000*jäätmed_klaas)+(JÄÄTMED!P22/1000*jäätmed_klaas)+(JÄÄTMED!P24/1000*jäätmed_paber)+(JÄÄTMED!P25/1000*jäätmed_paber)+(JÄÄTMED!P27/1000*jäätmed_segapakend)+(JÄÄTMED!P28/1000*jäätmed_segapakend)+(JÄÄTMED!P31/1000*jäätmed_segaolme_prügila)+(JÄÄTMED!P32/1000*jäätmed_segaolme_prügila)+(JÄÄTMED!P34/1000*jäätmed_segaolme_põletus)+(JÄÄTMED!P35/1000*jäätmed_segaolme_põletus))/1000</f>
        <v>0</v>
      </c>
      <c r="D25" s="229">
        <f>((JÄÄTMED!P45/1000*jäätmed_biojäätmed)+(JÄÄTMED!P46/1000*jäätmed_biojäätmed)+(JÄÄTMED!P48/1000*jäätmed_klaas)+(JÄÄTMED!P49/1000*jäätmed_klaas)+(JÄÄTMED!P51/1000*jäätmed_paber)+(JÄÄTMED!P52/1000*jäätmed_paber)+(JÄÄTMED!P54/1000*jäätmed_segapakend)+(JÄÄTMED!P55/1000*jäätmed_segapakend)+(JÄÄTMED!P58/1000*jäätmed_segaolme_prügila)+(JÄÄTMED!P59/1000*jäätmed_segaolme_prügila)+(JÄÄTMED!P61/1000*jäätmed_segaolme_põletus)+(JÄÄTMED!P62/1000*jäätmed_segaolme_põletus))/1000</f>
        <v>0</v>
      </c>
      <c r="E25" s="229">
        <f>((JÄÄTMED!P72/1000*jäätmed_biojäätmed)+(JÄÄTMED!P73/1000*jäätmed_biojäätmed)+(JÄÄTMED!P75/1000*jäätmed_klaas)+(JÄÄTMED!P76/1000*jäätmed_klaas)+(JÄÄTMED!P78/1000*jäätmed_paber)+(JÄÄTMED!P79/1000*jäätmed_paber)+(JÄÄTMED!P81/1000*jäätmed_segapakend)+(JÄÄTMED!P82/1000*jäätmed_segapakend)+(JÄÄTMED!P85/1000*jäätmed_segaolme_prügila)+(JÄÄTMED!P86/1000*jäätmed_segaolme_prügila)+(JÄÄTMED!P88/1000*jäätmed_segaolme_põletus)+(JÄÄTMED!P89/1000*jäätmed_segaolme_põletus))/1000</f>
        <v>0</v>
      </c>
      <c r="F25" s="229">
        <f>((JÄÄTMED!P99/1000*jäätmed_biojäätmed)+(JÄÄTMED!P100/1000*jäätmed_biojäätmed)+(JÄÄTMED!P102/1000*jäätmed_klaas)+(JÄÄTMED!P103/1000*jäätmed_klaas)+(JÄÄTMED!P105/1000*jäätmed_paber)+(JÄÄTMED!P106/1000*jäätmed_paber)+(JÄÄTMED!P108/1000*jäätmed_segapakend)+(JÄÄTMED!P109/1000*jäätmed_segapakend)+(JÄÄTMED!P112/1000*jäätmed_segaolme_prügila)+(JÄÄTMED!P113/1000*jäätmed_segaolme_prügila)+(JÄÄTMED!P115/1000*jäätmed_segaolme_põletus)+(JÄÄTMED!P116/1000*jäätmed_segaolme_põletus))/1000</f>
        <v>0</v>
      </c>
      <c r="G25" s="229">
        <f>((JÄÄTMED!P126/1000*jäätmed_biojäätmed)+(JÄÄTMED!P127/1000*jäätmed_biojäätmed)+(JÄÄTMED!P129/1000*jäätmed_klaas)+(JÄÄTMED!P130/1000*jäätmed_klaas)+(JÄÄTMED!P132/1000*jäätmed_paber)+(JÄÄTMED!P133/1000*jäätmed_paber)+(JÄÄTMED!P135/1000*jäätmed_segapakend)+(JÄÄTMED!P136/1000*jäätmed_segapakend)+(JÄÄTMED!P139/1000*jäätmed_segaolme_prügila)+(JÄÄTMED!P140/1000*jäätmed_segaolme_prügila)+(JÄÄTMED!P142/1000*jäätmed_segaolme_põletus)+(JÄÄTMED!P143/1000*jäätmed_segaolme_põletus))/1000</f>
        <v>0</v>
      </c>
      <c r="H25" s="229">
        <f>((JÄÄTMED!P153/1000*jäätmed_biojäätmed)+(JÄÄTMED!P154/1000*jäätmed_biojäätmed)+(JÄÄTMED!P156/1000*jäätmed_klaas)+(JÄÄTMED!P157/1000*jäätmed_klaas)+(JÄÄTMED!P159/1000*jäätmed_paber)+(JÄÄTMED!P160/1000*jäätmed_paber)+(JÄÄTMED!P162/1000*jäätmed_segapakend)+(JÄÄTMED!P163/1000*jäätmed_segapakend)+(JÄÄTMED!P166/1000*jäätmed_segaolme_prügila)+(JÄÄTMED!P167/1000*jäätmed_segaolme_prügila)+(JÄÄTMED!P169/1000*jäätmed_segaolme_põletus)+(JÄÄTMED!P170/1000*jäätmed_segaolme_põletus))/1000</f>
        <v>0</v>
      </c>
      <c r="I25" s="229">
        <f>((JÄÄTMED!P180/1000*jäätmed_biojäätmed)+(JÄÄTMED!P181/1000*jäätmed_biojäätmed)+(JÄÄTMED!P183/1000*jäätmed_klaas)+(JÄÄTMED!P184/1000*jäätmed_klaas)+(JÄÄTMED!P186/1000*jäätmed_paber)+(JÄÄTMED!P187/1000*jäätmed_paber)+(JÄÄTMED!P189/1000*jäätmed_segapakend)+(JÄÄTMED!P190/1000*jäätmed_segapakend)+(JÄÄTMED!P193/1000*jäätmed_segaolme_prügila)+(JÄÄTMED!P194/1000*jäätmed_segaolme_prügila)+(JÄÄTMED!P196/1000*jäätmed_segaolme_põletus)+(JÄÄTMED!P197/1000*jäätmed_segaolme_põletus))/1000</f>
        <v>0</v>
      </c>
      <c r="Y25" s="2"/>
      <c r="Z25" s="374" t="s">
        <v>219</v>
      </c>
      <c r="AA25" s="238" t="e">
        <f>AA23+AA24</f>
        <v>#DIV/0!</v>
      </c>
      <c r="AB25" s="238" t="e">
        <f t="shared" ref="AB25:AG25" si="4">AB23+AB24</f>
        <v>#DIV/0!</v>
      </c>
      <c r="AC25" s="238" t="e">
        <f t="shared" si="4"/>
        <v>#DIV/0!</v>
      </c>
      <c r="AD25" s="238" t="e">
        <f t="shared" si="4"/>
        <v>#DIV/0!</v>
      </c>
      <c r="AE25" s="238" t="e">
        <f t="shared" si="4"/>
        <v>#DIV/0!</v>
      </c>
      <c r="AF25" s="238" t="e">
        <f t="shared" si="4"/>
        <v>#DIV/0!</v>
      </c>
      <c r="AG25" s="238" t="e">
        <f t="shared" si="4"/>
        <v>#DIV/0!</v>
      </c>
      <c r="AH25" s="239" t="e">
        <f ca="1">OFFSET(Z25,,MATCH('KHG JALAJÄLG KOOND'!$Q$45,$AA$22:$AG$22,0))</f>
        <v>#DIV/0!</v>
      </c>
    </row>
    <row r="26" spans="2:34" ht="15.75" thickBot="1" x14ac:dyDescent="0.3">
      <c r="B26" s="119" t="s">
        <v>220</v>
      </c>
      <c r="C26" s="209">
        <f>SUM(C19:C25)</f>
        <v>0</v>
      </c>
      <c r="D26" s="115">
        <f t="shared" ref="D26:I26" si="5">SUM(D19:D25)</f>
        <v>0</v>
      </c>
      <c r="E26" s="115">
        <f t="shared" si="5"/>
        <v>0</v>
      </c>
      <c r="F26" s="115">
        <f t="shared" si="5"/>
        <v>0</v>
      </c>
      <c r="G26" s="115">
        <f t="shared" si="5"/>
        <v>0</v>
      </c>
      <c r="H26" s="115">
        <f t="shared" si="5"/>
        <v>0</v>
      </c>
      <c r="I26" s="115">
        <f t="shared" si="5"/>
        <v>0</v>
      </c>
      <c r="N26" s="27"/>
      <c r="Y26" s="2" t="s">
        <v>221</v>
      </c>
      <c r="Z26" s="21" t="s">
        <v>222</v>
      </c>
      <c r="AA26" s="236" t="e">
        <f>C13/C33</f>
        <v>#DIV/0!</v>
      </c>
      <c r="AB26" s="236" t="e">
        <f t="shared" ref="AB26:AG26" si="6">D13/D33</f>
        <v>#DIV/0!</v>
      </c>
      <c r="AC26" s="236" t="e">
        <f t="shared" si="6"/>
        <v>#DIV/0!</v>
      </c>
      <c r="AD26" s="236" t="e">
        <f t="shared" si="6"/>
        <v>#DIV/0!</v>
      </c>
      <c r="AE26" s="236" t="e">
        <f t="shared" si="6"/>
        <v>#DIV/0!</v>
      </c>
      <c r="AF26" s="236" t="e">
        <f t="shared" si="6"/>
        <v>#DIV/0!</v>
      </c>
      <c r="AG26" s="236" t="e">
        <f t="shared" si="6"/>
        <v>#DIV/0!</v>
      </c>
      <c r="AH26" s="237" t="e">
        <f ca="1">OFFSET(Z26,,MATCH('KHG JALAJÄLG KOOND'!$Q$45,$AA$22:$AG$22,0))</f>
        <v>#DIV/0!</v>
      </c>
    </row>
    <row r="27" spans="2:34" x14ac:dyDescent="0.25">
      <c r="B27" s="265"/>
      <c r="I27" s="267"/>
      <c r="Y27" s="2"/>
      <c r="Z27" s="21" t="s">
        <v>223</v>
      </c>
      <c r="AA27" s="236" t="e">
        <f>C14/C33</f>
        <v>#DIV/0!</v>
      </c>
      <c r="AB27" s="236" t="e">
        <f t="shared" ref="AB27:AG27" si="7">D14/D33</f>
        <v>#DIV/0!</v>
      </c>
      <c r="AC27" s="236" t="e">
        <f t="shared" si="7"/>
        <v>#DIV/0!</v>
      </c>
      <c r="AD27" s="236" t="e">
        <f t="shared" si="7"/>
        <v>#DIV/0!</v>
      </c>
      <c r="AE27" s="236" t="e">
        <f t="shared" si="7"/>
        <v>#DIV/0!</v>
      </c>
      <c r="AF27" s="236" t="e">
        <f t="shared" si="7"/>
        <v>#DIV/0!</v>
      </c>
      <c r="AG27" s="236" t="e">
        <f t="shared" si="7"/>
        <v>#DIV/0!</v>
      </c>
      <c r="AH27" s="237" t="e">
        <f ca="1">OFFSET(Z27,,MATCH('KHG JALAJÄLG KOOND'!$Q$45,$AA$22:$AG$22,0))</f>
        <v>#DIV/0!</v>
      </c>
    </row>
    <row r="28" spans="2:34" ht="15.75" thickBot="1" x14ac:dyDescent="0.3">
      <c r="B28" s="265"/>
      <c r="I28" s="267"/>
      <c r="Y28" s="2"/>
      <c r="Z28" s="21" t="s">
        <v>224</v>
      </c>
      <c r="AA28" s="237" t="e">
        <f t="shared" ref="AA28:AG28" si="8">C15/C33</f>
        <v>#DIV/0!</v>
      </c>
      <c r="AB28" s="237" t="e">
        <f t="shared" si="8"/>
        <v>#DIV/0!</v>
      </c>
      <c r="AC28" s="237" t="e">
        <f t="shared" si="8"/>
        <v>#DIV/0!</v>
      </c>
      <c r="AD28" s="237" t="e">
        <f t="shared" si="8"/>
        <v>#DIV/0!</v>
      </c>
      <c r="AE28" s="237" t="e">
        <f t="shared" si="8"/>
        <v>#DIV/0!</v>
      </c>
      <c r="AF28" s="237" t="e">
        <f t="shared" si="8"/>
        <v>#DIV/0!</v>
      </c>
      <c r="AG28" s="237" t="e">
        <f t="shared" si="8"/>
        <v>#DIV/0!</v>
      </c>
      <c r="AH28" s="237" t="e">
        <f ca="1">OFFSET(Z28,,MATCH('KHG JALAJÄLG KOOND'!$Q$45,$AA$22:$AG$22,0))</f>
        <v>#DIV/0!</v>
      </c>
    </row>
    <row r="29" spans="2:34" ht="15.75" thickBot="1" x14ac:dyDescent="0.3">
      <c r="B29" s="269"/>
      <c r="C29" s="116">
        <f t="shared" ref="C29:I29" si="9">C12</f>
        <v>2022</v>
      </c>
      <c r="D29" s="116">
        <f t="shared" si="9"/>
        <v>2023</v>
      </c>
      <c r="E29" s="116">
        <f t="shared" si="9"/>
        <v>2024</v>
      </c>
      <c r="F29" s="116">
        <f t="shared" si="9"/>
        <v>2025</v>
      </c>
      <c r="G29" s="116">
        <f t="shared" si="9"/>
        <v>2026</v>
      </c>
      <c r="H29" s="116">
        <f t="shared" si="9"/>
        <v>2027</v>
      </c>
      <c r="I29" s="116">
        <f t="shared" si="9"/>
        <v>2028</v>
      </c>
      <c r="Y29" s="2"/>
      <c r="Z29" s="374" t="s">
        <v>225</v>
      </c>
      <c r="AA29" s="238" t="e">
        <f>AA26+AA27+AA28</f>
        <v>#DIV/0!</v>
      </c>
      <c r="AB29" s="238" t="e">
        <f t="shared" ref="AB29:AF29" si="10">AB26+AB27+AB28</f>
        <v>#DIV/0!</v>
      </c>
      <c r="AC29" s="238" t="e">
        <f t="shared" si="10"/>
        <v>#DIV/0!</v>
      </c>
      <c r="AD29" s="238" t="e">
        <f t="shared" si="10"/>
        <v>#DIV/0!</v>
      </c>
      <c r="AE29" s="238" t="e">
        <f t="shared" si="10"/>
        <v>#DIV/0!</v>
      </c>
      <c r="AF29" s="238" t="e">
        <f t="shared" si="10"/>
        <v>#DIV/0!</v>
      </c>
      <c r="AG29" s="238" t="e">
        <f>AG26+AG27+AG28</f>
        <v>#DIV/0!</v>
      </c>
      <c r="AH29" s="239" t="e">
        <f ca="1">OFFSET(Z29,,MATCH('KHG JALAJÄLG KOOND'!$Q$45,$AA$22:$AG$22,0))</f>
        <v>#DIV/0!</v>
      </c>
    </row>
    <row r="30" spans="2:34" ht="29.1" customHeight="1" x14ac:dyDescent="0.25">
      <c r="B30" s="230" t="s">
        <v>226</v>
      </c>
      <c r="C30" s="248">
        <f t="shared" ref="C30:I30" si="11">C10</f>
        <v>0</v>
      </c>
      <c r="D30" s="248">
        <f t="shared" si="11"/>
        <v>0</v>
      </c>
      <c r="E30" s="248">
        <f t="shared" si="11"/>
        <v>0</v>
      </c>
      <c r="F30" s="248">
        <f t="shared" si="11"/>
        <v>0</v>
      </c>
      <c r="G30" s="248">
        <f t="shared" si="11"/>
        <v>0</v>
      </c>
      <c r="H30" s="248">
        <f t="shared" si="11"/>
        <v>0</v>
      </c>
      <c r="I30" s="248">
        <f t="shared" si="11"/>
        <v>0</v>
      </c>
      <c r="Y30" s="2" t="s">
        <v>227</v>
      </c>
      <c r="Z30" s="21" t="s">
        <v>228</v>
      </c>
      <c r="AA30" s="237" t="e">
        <f>C19/C33</f>
        <v>#DIV/0!</v>
      </c>
      <c r="AB30" s="237" t="e">
        <f t="shared" ref="AB30:AG30" si="12">D19/D33</f>
        <v>#DIV/0!</v>
      </c>
      <c r="AC30" s="237" t="e">
        <f t="shared" si="12"/>
        <v>#DIV/0!</v>
      </c>
      <c r="AD30" s="237" t="e">
        <f t="shared" si="12"/>
        <v>#DIV/0!</v>
      </c>
      <c r="AE30" s="237" t="e">
        <f t="shared" si="12"/>
        <v>#DIV/0!</v>
      </c>
      <c r="AF30" s="237" t="e">
        <f t="shared" si="12"/>
        <v>#DIV/0!</v>
      </c>
      <c r="AG30" s="237" t="e">
        <f t="shared" si="12"/>
        <v>#DIV/0!</v>
      </c>
      <c r="AH30" s="237" t="e">
        <f ca="1">OFFSET(Z30,,MATCH('KHG JALAJÄLG KOOND'!$Q$45,$AA$22:$AG$22,0))</f>
        <v>#DIV/0!</v>
      </c>
    </row>
    <row r="31" spans="2:34" ht="29.1" customHeight="1" x14ac:dyDescent="0.25">
      <c r="B31" s="231" t="s">
        <v>229</v>
      </c>
      <c r="C31" s="232">
        <f t="shared" ref="C31:I31" si="13">C16</f>
        <v>0</v>
      </c>
      <c r="D31" s="232">
        <f t="shared" si="13"/>
        <v>0</v>
      </c>
      <c r="E31" s="232">
        <f t="shared" si="13"/>
        <v>0</v>
      </c>
      <c r="F31" s="232">
        <f t="shared" si="13"/>
        <v>0</v>
      </c>
      <c r="G31" s="232">
        <f t="shared" si="13"/>
        <v>0</v>
      </c>
      <c r="H31" s="232">
        <f t="shared" si="13"/>
        <v>0</v>
      </c>
      <c r="I31" s="232">
        <f t="shared" si="13"/>
        <v>0</v>
      </c>
      <c r="Y31" s="2"/>
      <c r="Z31" s="21" t="s">
        <v>209</v>
      </c>
      <c r="AA31" s="236" t="e">
        <f>C20/C33</f>
        <v>#DIV/0!</v>
      </c>
      <c r="AB31" s="236" t="e">
        <f t="shared" ref="AB31:AG31" si="14">D20/D33</f>
        <v>#DIV/0!</v>
      </c>
      <c r="AC31" s="236" t="e">
        <f t="shared" si="14"/>
        <v>#DIV/0!</v>
      </c>
      <c r="AD31" s="236" t="e">
        <f t="shared" si="14"/>
        <v>#DIV/0!</v>
      </c>
      <c r="AE31" s="236" t="e">
        <f t="shared" si="14"/>
        <v>#DIV/0!</v>
      </c>
      <c r="AF31" s="236" t="e">
        <f t="shared" si="14"/>
        <v>#DIV/0!</v>
      </c>
      <c r="AG31" s="236" t="e">
        <f t="shared" si="14"/>
        <v>#DIV/0!</v>
      </c>
      <c r="AH31" s="237" t="e">
        <f ca="1">OFFSET(Z31,,MATCH('KHG JALAJÄLG KOOND'!$Q$45,$AA$22:$AG$22,0))</f>
        <v>#DIV/0!</v>
      </c>
    </row>
    <row r="32" spans="2:34" ht="29.1" customHeight="1" thickBot="1" x14ac:dyDescent="0.3">
      <c r="B32" s="233" t="s">
        <v>230</v>
      </c>
      <c r="C32" s="234">
        <f>C26</f>
        <v>0</v>
      </c>
      <c r="D32" s="234">
        <f t="shared" ref="D32:I32" si="15">D26</f>
        <v>0</v>
      </c>
      <c r="E32" s="234">
        <f t="shared" si="15"/>
        <v>0</v>
      </c>
      <c r="F32" s="234">
        <f t="shared" si="15"/>
        <v>0</v>
      </c>
      <c r="G32" s="234">
        <f t="shared" si="15"/>
        <v>0</v>
      </c>
      <c r="H32" s="234">
        <f t="shared" si="15"/>
        <v>0</v>
      </c>
      <c r="I32" s="234">
        <f t="shared" si="15"/>
        <v>0</v>
      </c>
      <c r="Y32" s="2"/>
      <c r="Z32" s="21" t="s">
        <v>231</v>
      </c>
      <c r="AA32" s="236" t="e">
        <f>C21/C33</f>
        <v>#DIV/0!</v>
      </c>
      <c r="AB32" s="236" t="e">
        <f t="shared" ref="AB32:AG32" si="16">D21/D33</f>
        <v>#DIV/0!</v>
      </c>
      <c r="AC32" s="236" t="e">
        <f t="shared" si="16"/>
        <v>#DIV/0!</v>
      </c>
      <c r="AD32" s="236" t="e">
        <f t="shared" si="16"/>
        <v>#DIV/0!</v>
      </c>
      <c r="AE32" s="236" t="e">
        <f t="shared" si="16"/>
        <v>#DIV/0!</v>
      </c>
      <c r="AF32" s="236" t="e">
        <f t="shared" si="16"/>
        <v>#DIV/0!</v>
      </c>
      <c r="AG32" s="236" t="e">
        <f t="shared" si="16"/>
        <v>#DIV/0!</v>
      </c>
      <c r="AH32" s="237" t="e">
        <f ca="1">OFFSET(Z32,,MATCH('KHG JALAJÄLG KOOND'!$Q$45,$AA$22:$AG$22,0))</f>
        <v>#DIV/0!</v>
      </c>
    </row>
    <row r="33" spans="2:34" ht="29.1" customHeight="1" thickBot="1" x14ac:dyDescent="0.3">
      <c r="B33" s="114" t="s">
        <v>232</v>
      </c>
      <c r="C33" s="235">
        <f>SUM(C30:C32)</f>
        <v>0</v>
      </c>
      <c r="D33" s="235">
        <f t="shared" ref="D33:I33" si="17">SUM(D30:D32)</f>
        <v>0</v>
      </c>
      <c r="E33" s="235">
        <f t="shared" si="17"/>
        <v>0</v>
      </c>
      <c r="F33" s="235">
        <f t="shared" si="17"/>
        <v>0</v>
      </c>
      <c r="G33" s="235">
        <f t="shared" si="17"/>
        <v>0</v>
      </c>
      <c r="H33" s="235">
        <f t="shared" si="17"/>
        <v>0</v>
      </c>
      <c r="I33" s="235">
        <f t="shared" si="17"/>
        <v>0</v>
      </c>
      <c r="J33" s="211"/>
      <c r="Y33" s="2"/>
      <c r="Z33" s="21" t="s">
        <v>233</v>
      </c>
      <c r="AA33" s="236" t="e">
        <f>C22/C33</f>
        <v>#DIV/0!</v>
      </c>
      <c r="AB33" s="236" t="e">
        <f t="shared" ref="AB33:AG33" si="18">D22/D33</f>
        <v>#DIV/0!</v>
      </c>
      <c r="AC33" s="236" t="e">
        <f t="shared" si="18"/>
        <v>#DIV/0!</v>
      </c>
      <c r="AD33" s="236" t="e">
        <f t="shared" si="18"/>
        <v>#DIV/0!</v>
      </c>
      <c r="AE33" s="236" t="e">
        <f t="shared" si="18"/>
        <v>#DIV/0!</v>
      </c>
      <c r="AF33" s="236" t="e">
        <f t="shared" si="18"/>
        <v>#DIV/0!</v>
      </c>
      <c r="AG33" s="236" t="e">
        <f t="shared" si="18"/>
        <v>#DIV/0!</v>
      </c>
      <c r="AH33" s="237" t="e">
        <f ca="1">OFFSET(Z33,,MATCH('KHG JALAJÄLG KOOND'!$Q$45,$AA$22:$AG$22,0))</f>
        <v>#DIV/0!</v>
      </c>
    </row>
    <row r="34" spans="2:34" ht="15.75" thickBot="1" x14ac:dyDescent="0.3">
      <c r="B34" s="265"/>
      <c r="I34" s="267"/>
      <c r="Y34" s="237"/>
      <c r="Z34" s="21" t="s">
        <v>234</v>
      </c>
      <c r="AA34" s="237" t="e">
        <f>C23/C33</f>
        <v>#DIV/0!</v>
      </c>
      <c r="AB34" s="237" t="e">
        <f t="shared" ref="AB34:AG34" si="19">D23/D33</f>
        <v>#DIV/0!</v>
      </c>
      <c r="AC34" s="237" t="e">
        <f t="shared" si="19"/>
        <v>#DIV/0!</v>
      </c>
      <c r="AD34" s="237" t="e">
        <f t="shared" si="19"/>
        <v>#DIV/0!</v>
      </c>
      <c r="AE34" s="237" t="e">
        <f t="shared" si="19"/>
        <v>#DIV/0!</v>
      </c>
      <c r="AF34" s="237" t="e">
        <f t="shared" si="19"/>
        <v>#DIV/0!</v>
      </c>
      <c r="AG34" s="237" t="e">
        <f t="shared" si="19"/>
        <v>#DIV/0!</v>
      </c>
      <c r="AH34" s="237" t="e">
        <f ca="1">OFFSET(Z34,,MATCH('KHG JALAJÄLG KOOND'!$Q$45,$AA$22:$AG$22,0))</f>
        <v>#DIV/0!</v>
      </c>
    </row>
    <row r="35" spans="2:34" ht="15.75" thickBot="1" x14ac:dyDescent="0.3">
      <c r="B35" s="273" t="s">
        <v>235</v>
      </c>
      <c r="C35" s="235" t="e">
        <f>C33/a_2022</f>
        <v>#DIV/0!</v>
      </c>
      <c r="D35" s="235" t="e">
        <f>D33/a_2023</f>
        <v>#DIV/0!</v>
      </c>
      <c r="E35" s="235" t="e">
        <f>E33/a_2024</f>
        <v>#DIV/0!</v>
      </c>
      <c r="F35" s="235" t="e">
        <f>F33/a_2025</f>
        <v>#DIV/0!</v>
      </c>
      <c r="G35" s="235" t="e">
        <f>G33/a_2026</f>
        <v>#DIV/0!</v>
      </c>
      <c r="H35" s="235" t="e">
        <f>H33/a_2027</f>
        <v>#DIV/0!</v>
      </c>
      <c r="I35" s="235" t="e">
        <f>I33/a_2028</f>
        <v>#DIV/0!</v>
      </c>
      <c r="Y35" s="2"/>
      <c r="Z35" s="21" t="s">
        <v>236</v>
      </c>
      <c r="AA35" s="237" t="e">
        <f>C24/C33</f>
        <v>#DIV/0!</v>
      </c>
      <c r="AB35" s="237" t="e">
        <f t="shared" ref="AB35:AG35" si="20">D24/D33</f>
        <v>#DIV/0!</v>
      </c>
      <c r="AC35" s="237" t="e">
        <f t="shared" si="20"/>
        <v>#DIV/0!</v>
      </c>
      <c r="AD35" s="237" t="e">
        <f t="shared" si="20"/>
        <v>#DIV/0!</v>
      </c>
      <c r="AE35" s="237" t="e">
        <f t="shared" si="20"/>
        <v>#DIV/0!</v>
      </c>
      <c r="AF35" s="237" t="e">
        <f t="shared" si="20"/>
        <v>#DIV/0!</v>
      </c>
      <c r="AG35" s="237" t="e">
        <f t="shared" si="20"/>
        <v>#DIV/0!</v>
      </c>
      <c r="AH35" s="237" t="e">
        <f ca="1">OFFSET(Z35,,MATCH('KHG JALAJÄLG KOOND'!$Q$45,$AA$22:$AG$22,0))</f>
        <v>#DIV/0!</v>
      </c>
    </row>
    <row r="36" spans="2:34" x14ac:dyDescent="0.25">
      <c r="Y36" s="2"/>
      <c r="Z36" s="21" t="s">
        <v>237</v>
      </c>
      <c r="AA36" s="237" t="e">
        <f>C25/C33</f>
        <v>#DIV/0!</v>
      </c>
      <c r="AB36" s="237" t="e">
        <f t="shared" ref="AB36:AG36" si="21">D25/D33</f>
        <v>#DIV/0!</v>
      </c>
      <c r="AC36" s="237" t="e">
        <f t="shared" si="21"/>
        <v>#DIV/0!</v>
      </c>
      <c r="AD36" s="237" t="e">
        <f t="shared" si="21"/>
        <v>#DIV/0!</v>
      </c>
      <c r="AE36" s="237" t="e">
        <f t="shared" si="21"/>
        <v>#DIV/0!</v>
      </c>
      <c r="AF36" s="237" t="e">
        <f t="shared" si="21"/>
        <v>#DIV/0!</v>
      </c>
      <c r="AG36" s="237" t="e">
        <f t="shared" si="21"/>
        <v>#DIV/0!</v>
      </c>
      <c r="AH36" s="237" t="e">
        <f ca="1">OFFSET(Z36,,MATCH('KHG JALAJÄLG KOOND'!$Q$45,$AA$22:$AG$22,0))</f>
        <v>#DIV/0!</v>
      </c>
    </row>
    <row r="37" spans="2:34" x14ac:dyDescent="0.25">
      <c r="Y37" s="2"/>
      <c r="Z37" s="374" t="s">
        <v>238</v>
      </c>
      <c r="AA37" s="239" t="e">
        <f>SUM(AA30:AA36)</f>
        <v>#DIV/0!</v>
      </c>
      <c r="AB37" s="239" t="e">
        <f t="shared" ref="AB37:AF37" si="22">SUM(AB30:AB36)</f>
        <v>#DIV/0!</v>
      </c>
      <c r="AC37" s="239" t="e">
        <f t="shared" si="22"/>
        <v>#DIV/0!</v>
      </c>
      <c r="AD37" s="239" t="e">
        <f t="shared" si="22"/>
        <v>#DIV/0!</v>
      </c>
      <c r="AE37" s="239" t="e">
        <f t="shared" si="22"/>
        <v>#DIV/0!</v>
      </c>
      <c r="AF37" s="239" t="e">
        <f t="shared" si="22"/>
        <v>#DIV/0!</v>
      </c>
      <c r="AG37" s="239" t="e">
        <f>SUM(AG30:AG36)</f>
        <v>#DIV/0!</v>
      </c>
      <c r="AH37" s="239" t="e">
        <f ca="1">OFFSET(Z37,,MATCH('KHG JALAJÄLG KOOND'!$Q$45,$AA$22:$AG$22,0))</f>
        <v>#DIV/0!</v>
      </c>
    </row>
    <row r="38" spans="2:34" x14ac:dyDescent="0.25">
      <c r="Y38" s="2"/>
      <c r="Z38" s="21" t="s">
        <v>239</v>
      </c>
      <c r="AA38" s="236" t="e">
        <f>AA25+AA29+AA37</f>
        <v>#DIV/0!</v>
      </c>
      <c r="AB38" s="236" t="e">
        <f t="shared" ref="AB38:AG38" si="23">AB25+AB29+AB37</f>
        <v>#DIV/0!</v>
      </c>
      <c r="AC38" s="236" t="e">
        <f t="shared" si="23"/>
        <v>#DIV/0!</v>
      </c>
      <c r="AD38" s="236" t="e">
        <f t="shared" si="23"/>
        <v>#DIV/0!</v>
      </c>
      <c r="AE38" s="236" t="e">
        <f t="shared" si="23"/>
        <v>#DIV/0!</v>
      </c>
      <c r="AF38" s="236" t="e">
        <f t="shared" si="23"/>
        <v>#DIV/0!</v>
      </c>
      <c r="AG38" s="236" t="e">
        <f t="shared" si="23"/>
        <v>#DIV/0!</v>
      </c>
      <c r="AH38" s="2"/>
    </row>
    <row r="44" spans="2:34" ht="15.75" thickBot="1" x14ac:dyDescent="0.3"/>
    <row r="45" spans="2:34" ht="16.5" thickTop="1" thickBot="1" x14ac:dyDescent="0.3">
      <c r="O45" s="682" t="s">
        <v>240</v>
      </c>
      <c r="P45" s="683"/>
      <c r="Q45" s="117">
        <v>2022</v>
      </c>
    </row>
    <row r="46" spans="2:34" ht="15.75" thickTop="1" x14ac:dyDescent="0.25"/>
  </sheetData>
  <mergeCells count="2">
    <mergeCell ref="B3:I3"/>
    <mergeCell ref="O45:P45"/>
  </mergeCells>
  <dataValidations count="1">
    <dataValidation type="list" allowBlank="1" showInputMessage="1" showErrorMessage="1" sqref="Q45" xr:uid="{5FA1E2FE-2AFF-4AE1-B542-83853624FE2C}">
      <formula1>$AA$22:$AG$22</formula1>
    </dataValidation>
  </dataValidations>
  <hyperlinks>
    <hyperlink ref="B3:I3" r:id="rId1" display="https://kliimaministeerium.ee/organisatsioonide-khg-jalajalg" xr:uid="{0510DEC9-C1E6-47ED-A4FE-D7D713A898E8}"/>
  </hyperlinks>
  <pageMargins left="0.70866141732283472" right="0.70866141732283472" top="0.74803149606299213" bottom="0.74803149606299213" header="0.31496062992125984" footer="0.31496062992125984"/>
  <pageSetup paperSize="9" orientation="landscape"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560-C03E-40DE-962C-F515CC9638C1}">
  <dimension ref="A1:H1048567"/>
  <sheetViews>
    <sheetView showGridLines="0" zoomScaleNormal="100" workbookViewId="0">
      <pane xSplit="1" ySplit="1" topLeftCell="B2" activePane="bottomRight" state="frozen"/>
      <selection pane="topRight" activeCell="B1" sqref="B1"/>
      <selection pane="bottomLeft" activeCell="A3" sqref="A3"/>
      <selection pane="bottomRight" activeCell="D350" sqref="D350"/>
    </sheetView>
  </sheetViews>
  <sheetFormatPr defaultRowHeight="15" customHeight="1" x14ac:dyDescent="0.25"/>
  <cols>
    <col min="1" max="1" width="2.5703125" customWidth="1"/>
    <col min="2" max="2" width="15" customWidth="1"/>
    <col min="3" max="3" width="61.42578125" customWidth="1"/>
    <col min="4" max="4" width="13.5703125" style="11" customWidth="1"/>
    <col min="5" max="5" width="20" bestFit="1" customWidth="1"/>
    <col min="6" max="6" width="188.5703125" bestFit="1" customWidth="1"/>
  </cols>
  <sheetData>
    <row r="1" spans="1:6" ht="18.75" customHeight="1" x14ac:dyDescent="0.3">
      <c r="B1" s="26" t="s">
        <v>241</v>
      </c>
    </row>
    <row r="3" spans="1:6" ht="36" customHeight="1" x14ac:dyDescent="0.25">
      <c r="B3" s="656" t="s">
        <v>242</v>
      </c>
      <c r="C3" s="657"/>
      <c r="D3" s="657"/>
      <c r="E3" s="657"/>
      <c r="F3" s="658"/>
    </row>
    <row r="4" spans="1:6" ht="15" customHeight="1" x14ac:dyDescent="0.25">
      <c r="C4" s="420"/>
      <c r="D4" s="499"/>
      <c r="E4" s="420"/>
      <c r="F4" s="420"/>
    </row>
    <row r="5" spans="1:6" ht="15" customHeight="1" x14ac:dyDescent="0.25">
      <c r="B5" s="421" t="s">
        <v>243</v>
      </c>
      <c r="C5" s="422"/>
      <c r="E5" s="2"/>
      <c r="F5" s="2"/>
    </row>
    <row r="6" spans="1:6" ht="15" customHeight="1" x14ac:dyDescent="0.25">
      <c r="B6" s="423" t="s">
        <v>244</v>
      </c>
      <c r="C6" s="423" t="s">
        <v>245</v>
      </c>
      <c r="D6" s="425" t="s">
        <v>246</v>
      </c>
      <c r="E6" s="425" t="s">
        <v>247</v>
      </c>
      <c r="F6" s="426" t="s">
        <v>248</v>
      </c>
    </row>
    <row r="7" spans="1:6" ht="15" customHeight="1" x14ac:dyDescent="0.25">
      <c r="B7" s="429">
        <v>2022</v>
      </c>
      <c r="C7" s="428" t="s">
        <v>249</v>
      </c>
      <c r="D7" s="437">
        <v>0.63700000000000001</v>
      </c>
      <c r="E7" s="429" t="s">
        <v>250</v>
      </c>
      <c r="F7" s="431" t="s">
        <v>251</v>
      </c>
    </row>
    <row r="8" spans="1:6" ht="15" customHeight="1" x14ac:dyDescent="0.25">
      <c r="B8" s="429">
        <v>2023</v>
      </c>
      <c r="C8" s="428" t="s">
        <v>249</v>
      </c>
      <c r="D8" s="437">
        <v>0.71518000000000004</v>
      </c>
      <c r="E8" s="429" t="s">
        <v>250</v>
      </c>
      <c r="F8" s="431" t="s">
        <v>252</v>
      </c>
    </row>
    <row r="9" spans="1:6" ht="15" customHeight="1" x14ac:dyDescent="0.25">
      <c r="B9" s="429">
        <v>2024</v>
      </c>
      <c r="C9" s="428" t="s">
        <v>249</v>
      </c>
      <c r="D9" s="437">
        <v>0.71165999999999996</v>
      </c>
      <c r="E9" s="429" t="s">
        <v>250</v>
      </c>
      <c r="F9" s="431" t="s">
        <v>253</v>
      </c>
    </row>
    <row r="10" spans="1:6" ht="15" customHeight="1" x14ac:dyDescent="0.25">
      <c r="B10" s="429">
        <v>2025</v>
      </c>
      <c r="C10" s="428" t="s">
        <v>249</v>
      </c>
      <c r="D10" s="437">
        <v>0.61195999999999995</v>
      </c>
      <c r="E10" s="429" t="s">
        <v>250</v>
      </c>
      <c r="F10" s="431" t="s">
        <v>254</v>
      </c>
    </row>
    <row r="11" spans="1:6" ht="15" customHeight="1" x14ac:dyDescent="0.25">
      <c r="B11" s="429">
        <v>2026</v>
      </c>
      <c r="C11" s="428" t="s">
        <v>249</v>
      </c>
      <c r="D11" s="399"/>
      <c r="E11" s="429" t="s">
        <v>250</v>
      </c>
      <c r="F11" s="431" t="s">
        <v>254</v>
      </c>
    </row>
    <row r="12" spans="1:6" ht="15" customHeight="1" x14ac:dyDescent="0.25">
      <c r="B12" s="429">
        <v>2027</v>
      </c>
      <c r="C12" s="428" t="s">
        <v>249</v>
      </c>
      <c r="D12" s="399"/>
      <c r="E12" s="429" t="s">
        <v>250</v>
      </c>
      <c r="F12" s="431" t="s">
        <v>254</v>
      </c>
    </row>
    <row r="13" spans="1:6" s="62" customFormat="1" ht="15" customHeight="1" x14ac:dyDescent="0.25">
      <c r="A13" s="61"/>
      <c r="B13" s="429">
        <v>2028</v>
      </c>
      <c r="C13" s="428" t="s">
        <v>249</v>
      </c>
      <c r="D13" s="399"/>
      <c r="E13" s="429" t="s">
        <v>250</v>
      </c>
      <c r="F13" s="431" t="s">
        <v>254</v>
      </c>
    </row>
    <row r="14" spans="1:6" ht="15" customHeight="1" x14ac:dyDescent="0.25">
      <c r="B14" s="432"/>
      <c r="C14" s="432"/>
      <c r="E14" s="2"/>
      <c r="F14" s="2"/>
    </row>
    <row r="15" spans="1:6" ht="15" customHeight="1" x14ac:dyDescent="0.25">
      <c r="B15" s="433"/>
      <c r="C15" s="433"/>
      <c r="D15" s="434"/>
      <c r="E15" s="435"/>
      <c r="F15" s="436"/>
    </row>
    <row r="16" spans="1:6" ht="15" customHeight="1" x14ac:dyDescent="0.25">
      <c r="B16" s="421" t="s">
        <v>255</v>
      </c>
      <c r="C16" s="422"/>
      <c r="E16" s="2"/>
      <c r="F16" s="2"/>
    </row>
    <row r="17" spans="2:6" ht="15" customHeight="1" x14ac:dyDescent="0.25">
      <c r="B17" s="423" t="s">
        <v>244</v>
      </c>
      <c r="C17" s="423" t="s">
        <v>256</v>
      </c>
      <c r="D17" s="425" t="s">
        <v>246</v>
      </c>
      <c r="E17" s="425" t="s">
        <v>247</v>
      </c>
      <c r="F17" s="426" t="s">
        <v>248</v>
      </c>
    </row>
    <row r="18" spans="2:6" ht="15" customHeight="1" x14ac:dyDescent="0.25">
      <c r="B18" s="429">
        <v>2022</v>
      </c>
      <c r="C18" s="429" t="s">
        <v>257</v>
      </c>
      <c r="D18" s="437">
        <v>8.7999999999999995E-2</v>
      </c>
      <c r="E18" s="512" t="s">
        <v>258</v>
      </c>
      <c r="F18" s="430" t="s">
        <v>489</v>
      </c>
    </row>
    <row r="19" spans="2:6" ht="15" customHeight="1" x14ac:dyDescent="0.25">
      <c r="B19" s="429">
        <v>2023</v>
      </c>
      <c r="C19" s="429" t="s">
        <v>257</v>
      </c>
      <c r="D19" s="437">
        <v>8.6999999999999994E-2</v>
      </c>
      <c r="E19" s="429" t="s">
        <v>259</v>
      </c>
      <c r="F19" s="430" t="s">
        <v>488</v>
      </c>
    </row>
    <row r="20" spans="2:6" ht="15" customHeight="1" x14ac:dyDescent="0.25">
      <c r="B20" s="429">
        <v>2024</v>
      </c>
      <c r="C20" s="429" t="s">
        <v>257</v>
      </c>
      <c r="D20" s="437">
        <v>8.1000000000000003E-2</v>
      </c>
      <c r="E20" s="429" t="s">
        <v>259</v>
      </c>
      <c r="F20" s="430" t="s">
        <v>486</v>
      </c>
    </row>
    <row r="21" spans="2:6" ht="15" customHeight="1" x14ac:dyDescent="0.25">
      <c r="B21" s="429">
        <v>2025</v>
      </c>
      <c r="C21" s="429" t="s">
        <v>257</v>
      </c>
      <c r="D21" s="437">
        <v>7.2999999999999995E-2</v>
      </c>
      <c r="E21" s="429" t="s">
        <v>483</v>
      </c>
      <c r="F21" s="430" t="s">
        <v>487</v>
      </c>
    </row>
    <row r="22" spans="2:6" ht="15" customHeight="1" x14ac:dyDescent="0.25">
      <c r="B22" s="429">
        <v>2026</v>
      </c>
      <c r="C22" s="429" t="s">
        <v>257</v>
      </c>
      <c r="D22" s="437"/>
      <c r="E22" s="429" t="s">
        <v>259</v>
      </c>
      <c r="F22" s="430" t="s">
        <v>260</v>
      </c>
    </row>
    <row r="23" spans="2:6" ht="15" customHeight="1" x14ac:dyDescent="0.25">
      <c r="B23" s="429">
        <v>2027</v>
      </c>
      <c r="C23" s="429" t="s">
        <v>257</v>
      </c>
      <c r="D23" s="437"/>
      <c r="E23" s="429" t="s">
        <v>259</v>
      </c>
      <c r="F23" s="430" t="s">
        <v>260</v>
      </c>
    </row>
    <row r="24" spans="2:6" ht="15" customHeight="1" x14ac:dyDescent="0.25">
      <c r="B24" s="429">
        <v>2028</v>
      </c>
      <c r="C24" s="429" t="s">
        <v>257</v>
      </c>
      <c r="D24" s="437"/>
      <c r="E24" s="429" t="s">
        <v>259</v>
      </c>
      <c r="F24" s="430" t="s">
        <v>260</v>
      </c>
    </row>
    <row r="25" spans="2:6" ht="15" customHeight="1" x14ac:dyDescent="0.25">
      <c r="B25" s="436"/>
      <c r="C25" s="436"/>
      <c r="E25" s="2"/>
      <c r="F25" s="2"/>
    </row>
    <row r="26" spans="2:6" ht="15" customHeight="1" x14ac:dyDescent="0.25">
      <c r="B26" s="423" t="s">
        <v>244</v>
      </c>
      <c r="C26" s="423" t="s">
        <v>261</v>
      </c>
      <c r="D26" s="425" t="s">
        <v>246</v>
      </c>
      <c r="E26" s="425" t="s">
        <v>247</v>
      </c>
      <c r="F26" s="426" t="s">
        <v>248</v>
      </c>
    </row>
    <row r="27" spans="2:6" ht="15" customHeight="1" x14ac:dyDescent="0.25">
      <c r="B27" s="427">
        <v>2022</v>
      </c>
      <c r="C27" s="427" t="s">
        <v>51</v>
      </c>
      <c r="D27" s="438">
        <v>5.7000000000000002E-2</v>
      </c>
      <c r="E27" s="430" t="s">
        <v>250</v>
      </c>
      <c r="F27" s="430" t="s">
        <v>493</v>
      </c>
    </row>
    <row r="28" spans="2:6" ht="15" customHeight="1" x14ac:dyDescent="0.25">
      <c r="B28" s="266">
        <v>2023</v>
      </c>
      <c r="C28" s="427" t="s">
        <v>51</v>
      </c>
      <c r="D28" s="438">
        <v>0.03</v>
      </c>
      <c r="E28" s="430" t="s">
        <v>250</v>
      </c>
      <c r="F28" s="430" t="s">
        <v>492</v>
      </c>
    </row>
    <row r="29" spans="2:6" ht="15" customHeight="1" x14ac:dyDescent="0.25">
      <c r="B29" s="427">
        <v>2024</v>
      </c>
      <c r="C29" s="427" t="s">
        <v>51</v>
      </c>
      <c r="D29" s="438">
        <v>2.1999999999999999E-2</v>
      </c>
      <c r="E29" s="430" t="s">
        <v>250</v>
      </c>
      <c r="F29" s="430" t="s">
        <v>491</v>
      </c>
    </row>
    <row r="30" spans="2:6" ht="15" customHeight="1" x14ac:dyDescent="0.25">
      <c r="B30" s="266">
        <v>2025</v>
      </c>
      <c r="C30" s="427" t="s">
        <v>51</v>
      </c>
      <c r="D30" s="438">
        <v>3.4000000000000002E-2</v>
      </c>
      <c r="E30" s="519" t="s">
        <v>485</v>
      </c>
      <c r="F30" s="430" t="s">
        <v>490</v>
      </c>
    </row>
    <row r="31" spans="2:6" ht="15" customHeight="1" x14ac:dyDescent="0.25">
      <c r="B31" s="427">
        <v>2026</v>
      </c>
      <c r="C31" s="427" t="s">
        <v>51</v>
      </c>
      <c r="D31" s="438"/>
      <c r="E31" s="430" t="s">
        <v>250</v>
      </c>
      <c r="F31" s="431" t="s">
        <v>262</v>
      </c>
    </row>
    <row r="32" spans="2:6" ht="15" customHeight="1" x14ac:dyDescent="0.25">
      <c r="B32" s="266">
        <v>2027</v>
      </c>
      <c r="C32" s="427" t="s">
        <v>51</v>
      </c>
      <c r="D32" s="438"/>
      <c r="E32" s="430" t="s">
        <v>250</v>
      </c>
      <c r="F32" s="431" t="s">
        <v>262</v>
      </c>
    </row>
    <row r="33" spans="2:6" ht="15" customHeight="1" x14ac:dyDescent="0.25">
      <c r="B33" s="427">
        <v>2028</v>
      </c>
      <c r="C33" s="427" t="s">
        <v>51</v>
      </c>
      <c r="D33" s="438"/>
      <c r="E33" s="430" t="s">
        <v>250</v>
      </c>
      <c r="F33" s="431" t="s">
        <v>262</v>
      </c>
    </row>
    <row r="34" spans="2:6" ht="15" customHeight="1" x14ac:dyDescent="0.25">
      <c r="B34" s="2"/>
      <c r="C34" s="2"/>
      <c r="E34" s="2"/>
      <c r="F34" s="2"/>
    </row>
    <row r="35" spans="2:6" ht="15" customHeight="1" x14ac:dyDescent="0.25">
      <c r="B35" s="423" t="s">
        <v>244</v>
      </c>
      <c r="C35" s="423" t="s">
        <v>263</v>
      </c>
      <c r="D35" s="425" t="s">
        <v>246</v>
      </c>
      <c r="E35" s="425" t="s">
        <v>247</v>
      </c>
      <c r="F35" s="426" t="s">
        <v>248</v>
      </c>
    </row>
    <row r="36" spans="2:6" ht="15" customHeight="1" x14ac:dyDescent="0.25">
      <c r="B36" s="427">
        <v>2022</v>
      </c>
      <c r="C36" s="427" t="s">
        <v>264</v>
      </c>
      <c r="D36" s="438">
        <v>0.03</v>
      </c>
      <c r="E36" s="430" t="s">
        <v>250</v>
      </c>
      <c r="F36" s="430" t="s">
        <v>493</v>
      </c>
    </row>
    <row r="37" spans="2:6" ht="15" customHeight="1" x14ac:dyDescent="0.25">
      <c r="B37" s="266">
        <v>2023</v>
      </c>
      <c r="C37" s="427" t="s">
        <v>264</v>
      </c>
      <c r="D37" s="438">
        <v>1.9E-2</v>
      </c>
      <c r="E37" s="430" t="s">
        <v>250</v>
      </c>
      <c r="F37" s="430" t="s">
        <v>492</v>
      </c>
    </row>
    <row r="38" spans="2:6" ht="15" customHeight="1" x14ac:dyDescent="0.25">
      <c r="B38" s="427">
        <v>2024</v>
      </c>
      <c r="C38" s="427" t="s">
        <v>264</v>
      </c>
      <c r="D38" s="438">
        <v>1.093E-2</v>
      </c>
      <c r="E38" s="430" t="s">
        <v>250</v>
      </c>
      <c r="F38" s="430" t="s">
        <v>491</v>
      </c>
    </row>
    <row r="39" spans="2:6" ht="15" customHeight="1" x14ac:dyDescent="0.25">
      <c r="B39" s="266">
        <v>2025</v>
      </c>
      <c r="C39" s="427" t="s">
        <v>264</v>
      </c>
      <c r="D39" s="438">
        <v>8.0000000000000002E-3</v>
      </c>
      <c r="E39" s="430" t="s">
        <v>484</v>
      </c>
      <c r="F39" s="430" t="s">
        <v>490</v>
      </c>
    </row>
    <row r="40" spans="2:6" ht="15" customHeight="1" x14ac:dyDescent="0.25">
      <c r="B40" s="427">
        <v>2026</v>
      </c>
      <c r="C40" s="427" t="s">
        <v>264</v>
      </c>
      <c r="D40" s="438"/>
      <c r="E40" s="430" t="s">
        <v>250</v>
      </c>
      <c r="F40" s="431" t="s">
        <v>262</v>
      </c>
    </row>
    <row r="41" spans="2:6" ht="15" customHeight="1" x14ac:dyDescent="0.25">
      <c r="B41" s="266">
        <v>2027</v>
      </c>
      <c r="C41" s="427" t="s">
        <v>264</v>
      </c>
      <c r="D41" s="438"/>
      <c r="E41" s="430" t="s">
        <v>250</v>
      </c>
      <c r="F41" s="431" t="s">
        <v>262</v>
      </c>
    </row>
    <row r="42" spans="2:6" ht="15" customHeight="1" x14ac:dyDescent="0.25">
      <c r="B42" s="427">
        <v>2028</v>
      </c>
      <c r="C42" s="427" t="s">
        <v>264</v>
      </c>
      <c r="D42" s="438"/>
      <c r="E42" s="430" t="s">
        <v>250</v>
      </c>
      <c r="F42" s="431" t="s">
        <v>262</v>
      </c>
    </row>
    <row r="43" spans="2:6" ht="15" customHeight="1" x14ac:dyDescent="0.25">
      <c r="B43" s="2"/>
      <c r="C43" s="2"/>
      <c r="E43" s="2"/>
      <c r="F43" s="2"/>
    </row>
    <row r="44" spans="2:6" ht="15" customHeight="1" x14ac:dyDescent="0.25">
      <c r="B44" s="423" t="s">
        <v>244</v>
      </c>
      <c r="C44" s="423" t="s">
        <v>265</v>
      </c>
      <c r="D44" s="425" t="s">
        <v>246</v>
      </c>
      <c r="E44" s="439" t="s">
        <v>247</v>
      </c>
      <c r="F44" s="426" t="s">
        <v>248</v>
      </c>
    </row>
    <row r="45" spans="2:6" ht="15" customHeight="1" x14ac:dyDescent="0.25">
      <c r="B45" s="429">
        <v>2022</v>
      </c>
      <c r="C45" s="429" t="s">
        <v>266</v>
      </c>
      <c r="D45" s="440">
        <v>2.8146399647099602E-4</v>
      </c>
      <c r="E45" s="429" t="s">
        <v>259</v>
      </c>
      <c r="F45" s="430" t="s">
        <v>267</v>
      </c>
    </row>
    <row r="46" spans="2:6" ht="15" customHeight="1" x14ac:dyDescent="0.25">
      <c r="B46" s="429">
        <v>2023</v>
      </c>
      <c r="C46" s="429" t="s">
        <v>266</v>
      </c>
      <c r="D46" s="440">
        <v>2.5704079089388119E-4</v>
      </c>
      <c r="E46" s="429" t="s">
        <v>259</v>
      </c>
      <c r="F46" s="430" t="s">
        <v>268</v>
      </c>
    </row>
    <row r="47" spans="2:6" ht="15" customHeight="1" x14ac:dyDescent="0.25">
      <c r="B47" s="429">
        <v>2024</v>
      </c>
      <c r="C47" s="429" t="s">
        <v>266</v>
      </c>
      <c r="D47" s="440">
        <v>2.313367118044931E-4</v>
      </c>
      <c r="E47" s="429" t="s">
        <v>259</v>
      </c>
      <c r="F47" s="430" t="s">
        <v>269</v>
      </c>
    </row>
    <row r="48" spans="2:6" ht="15" customHeight="1" x14ac:dyDescent="0.25">
      <c r="B48" s="429">
        <v>2025</v>
      </c>
      <c r="C48" s="429" t="s">
        <v>266</v>
      </c>
      <c r="D48" s="440"/>
      <c r="E48" s="429" t="s">
        <v>259</v>
      </c>
      <c r="F48" s="430" t="s">
        <v>270</v>
      </c>
    </row>
    <row r="49" spans="1:8" ht="15" customHeight="1" x14ac:dyDescent="0.25">
      <c r="B49" s="429">
        <v>2026</v>
      </c>
      <c r="C49" s="429" t="s">
        <v>266</v>
      </c>
      <c r="D49" s="440"/>
      <c r="E49" s="429" t="s">
        <v>259</v>
      </c>
      <c r="F49" s="430" t="s">
        <v>271</v>
      </c>
    </row>
    <row r="50" spans="1:8" ht="15" customHeight="1" x14ac:dyDescent="0.25">
      <c r="B50" s="429">
        <v>2027</v>
      </c>
      <c r="C50" s="429" t="s">
        <v>266</v>
      </c>
      <c r="D50" s="440"/>
      <c r="E50" s="429" t="s">
        <v>259</v>
      </c>
      <c r="F50" s="430" t="s">
        <v>272</v>
      </c>
    </row>
    <row r="51" spans="1:8" s="62" customFormat="1" ht="15" customHeight="1" x14ac:dyDescent="0.25">
      <c r="A51" s="61"/>
      <c r="B51" s="429">
        <v>2028</v>
      </c>
      <c r="C51" s="429" t="s">
        <v>266</v>
      </c>
      <c r="D51" s="440"/>
      <c r="E51" s="429" t="s">
        <v>259</v>
      </c>
      <c r="F51" s="430" t="s">
        <v>273</v>
      </c>
      <c r="G51" s="155"/>
      <c r="H51" s="155"/>
    </row>
    <row r="52" spans="1:8" ht="15" customHeight="1" x14ac:dyDescent="0.25">
      <c r="B52" s="429">
        <v>2022</v>
      </c>
      <c r="C52" s="427" t="s">
        <v>274</v>
      </c>
      <c r="D52" s="437">
        <v>0.42696158853270066</v>
      </c>
      <c r="E52" s="429" t="s">
        <v>259</v>
      </c>
      <c r="F52" s="430" t="s">
        <v>267</v>
      </c>
    </row>
    <row r="53" spans="1:8" ht="15" customHeight="1" x14ac:dyDescent="0.25">
      <c r="B53" s="429">
        <v>2023</v>
      </c>
      <c r="C53" s="429" t="s">
        <v>274</v>
      </c>
      <c r="D53" s="437">
        <v>0.47999087624079784</v>
      </c>
      <c r="E53" s="429" t="s">
        <v>259</v>
      </c>
      <c r="F53" s="430" t="s">
        <v>268</v>
      </c>
    </row>
    <row r="54" spans="1:8" ht="15" customHeight="1" x14ac:dyDescent="0.25">
      <c r="B54" s="429">
        <v>2024</v>
      </c>
      <c r="C54" s="429" t="s">
        <v>274</v>
      </c>
      <c r="D54" s="437">
        <v>0.38399270099263827</v>
      </c>
      <c r="E54" s="429" t="s">
        <v>259</v>
      </c>
      <c r="F54" s="430" t="s">
        <v>269</v>
      </c>
    </row>
    <row r="55" spans="1:8" ht="15" customHeight="1" x14ac:dyDescent="0.25">
      <c r="B55" s="429">
        <v>2025</v>
      </c>
      <c r="C55" s="429" t="s">
        <v>274</v>
      </c>
      <c r="D55" s="437"/>
      <c r="E55" s="429" t="s">
        <v>259</v>
      </c>
      <c r="F55" s="430" t="s">
        <v>270</v>
      </c>
    </row>
    <row r="56" spans="1:8" ht="15" customHeight="1" x14ac:dyDescent="0.25">
      <c r="B56" s="429">
        <v>2026</v>
      </c>
      <c r="C56" s="429" t="s">
        <v>274</v>
      </c>
      <c r="D56" s="437"/>
      <c r="E56" s="429" t="s">
        <v>259</v>
      </c>
      <c r="F56" s="430" t="s">
        <v>271</v>
      </c>
    </row>
    <row r="57" spans="1:8" ht="15" customHeight="1" x14ac:dyDescent="0.25">
      <c r="B57" s="429">
        <v>2027</v>
      </c>
      <c r="C57" s="429" t="s">
        <v>274</v>
      </c>
      <c r="D57" s="437"/>
      <c r="E57" s="429" t="s">
        <v>259</v>
      </c>
      <c r="F57" s="430" t="s">
        <v>272</v>
      </c>
    </row>
    <row r="58" spans="1:8" ht="15" customHeight="1" x14ac:dyDescent="0.25">
      <c r="B58" s="429">
        <v>2028</v>
      </c>
      <c r="C58" s="429" t="s">
        <v>274</v>
      </c>
      <c r="D58" s="437"/>
      <c r="E58" s="429" t="s">
        <v>259</v>
      </c>
      <c r="F58" s="430" t="s">
        <v>273</v>
      </c>
    </row>
    <row r="59" spans="1:8" ht="15" customHeight="1" x14ac:dyDescent="0.25">
      <c r="B59" s="429">
        <v>2022</v>
      </c>
      <c r="C59" s="430" t="s">
        <v>275</v>
      </c>
      <c r="D59" s="437">
        <v>0.29693319546890901</v>
      </c>
      <c r="E59" s="429" t="s">
        <v>259</v>
      </c>
      <c r="F59" s="430" t="s">
        <v>267</v>
      </c>
    </row>
    <row r="60" spans="1:8" ht="15" customHeight="1" x14ac:dyDescent="0.25">
      <c r="B60" s="429">
        <v>2023</v>
      </c>
      <c r="C60" s="430" t="s">
        <v>275</v>
      </c>
      <c r="D60" s="437">
        <v>0.29605449911698789</v>
      </c>
      <c r="E60" s="429" t="s">
        <v>259</v>
      </c>
      <c r="F60" s="430" t="s">
        <v>268</v>
      </c>
    </row>
    <row r="61" spans="1:8" ht="15" customHeight="1" x14ac:dyDescent="0.25">
      <c r="B61" s="429">
        <v>2024</v>
      </c>
      <c r="C61" s="430" t="s">
        <v>275</v>
      </c>
      <c r="D61" s="437">
        <v>0.26644904920528911</v>
      </c>
      <c r="E61" s="429" t="s">
        <v>259</v>
      </c>
      <c r="F61" s="430" t="s">
        <v>269</v>
      </c>
    </row>
    <row r="62" spans="1:8" ht="15" customHeight="1" x14ac:dyDescent="0.25">
      <c r="B62" s="429">
        <v>2025</v>
      </c>
      <c r="C62" s="430" t="s">
        <v>275</v>
      </c>
      <c r="D62" s="437"/>
      <c r="E62" s="429" t="s">
        <v>259</v>
      </c>
      <c r="F62" s="430" t="s">
        <v>270</v>
      </c>
    </row>
    <row r="63" spans="1:8" ht="15" customHeight="1" x14ac:dyDescent="0.25">
      <c r="B63" s="429">
        <v>2026</v>
      </c>
      <c r="C63" s="430" t="s">
        <v>275</v>
      </c>
      <c r="D63" s="437"/>
      <c r="E63" s="429" t="s">
        <v>259</v>
      </c>
      <c r="F63" s="430" t="s">
        <v>271</v>
      </c>
    </row>
    <row r="64" spans="1:8" ht="15" customHeight="1" x14ac:dyDescent="0.25">
      <c r="B64" s="429">
        <v>2027</v>
      </c>
      <c r="C64" s="430" t="s">
        <v>275</v>
      </c>
      <c r="D64" s="437"/>
      <c r="E64" s="429" t="s">
        <v>259</v>
      </c>
      <c r="F64" s="430" t="s">
        <v>272</v>
      </c>
    </row>
    <row r="65" spans="1:8" ht="15" customHeight="1" x14ac:dyDescent="0.25">
      <c r="B65" s="429">
        <v>2028</v>
      </c>
      <c r="C65" s="430" t="s">
        <v>275</v>
      </c>
      <c r="D65" s="437"/>
      <c r="E65" s="429" t="s">
        <v>259</v>
      </c>
      <c r="F65" s="430" t="s">
        <v>273</v>
      </c>
    </row>
    <row r="66" spans="1:8" ht="15" customHeight="1" x14ac:dyDescent="0.25">
      <c r="B66" s="429">
        <v>2022</v>
      </c>
      <c r="C66" s="429" t="s">
        <v>276</v>
      </c>
      <c r="D66" s="437">
        <v>0.221169256516248</v>
      </c>
      <c r="E66" s="429" t="s">
        <v>259</v>
      </c>
      <c r="F66" s="430" t="s">
        <v>267</v>
      </c>
    </row>
    <row r="67" spans="1:8" ht="15" customHeight="1" x14ac:dyDescent="0.25">
      <c r="B67" s="429">
        <v>2023</v>
      </c>
      <c r="C67" s="429" t="s">
        <v>276</v>
      </c>
      <c r="D67" s="437">
        <v>0.22115352466220675</v>
      </c>
      <c r="E67" s="429" t="s">
        <v>259</v>
      </c>
      <c r="F67" s="430" t="s">
        <v>268</v>
      </c>
    </row>
    <row r="68" spans="1:8" ht="15" customHeight="1" x14ac:dyDescent="0.25">
      <c r="B68" s="429">
        <v>2024</v>
      </c>
      <c r="C68" s="429" t="s">
        <v>276</v>
      </c>
      <c r="D68" s="437">
        <v>0.19903817219598607</v>
      </c>
      <c r="E68" s="429" t="s">
        <v>259</v>
      </c>
      <c r="F68" s="430" t="s">
        <v>269</v>
      </c>
    </row>
    <row r="69" spans="1:8" ht="15" customHeight="1" x14ac:dyDescent="0.25">
      <c r="B69" s="429">
        <v>2025</v>
      </c>
      <c r="C69" s="429" t="s">
        <v>276</v>
      </c>
      <c r="D69" s="437"/>
      <c r="E69" s="429" t="s">
        <v>259</v>
      </c>
      <c r="F69" s="430" t="s">
        <v>270</v>
      </c>
    </row>
    <row r="70" spans="1:8" ht="15" customHeight="1" x14ac:dyDescent="0.25">
      <c r="B70" s="429">
        <v>2026</v>
      </c>
      <c r="C70" s="429" t="s">
        <v>276</v>
      </c>
      <c r="D70" s="437"/>
      <c r="E70" s="429" t="s">
        <v>259</v>
      </c>
      <c r="F70" s="430" t="s">
        <v>271</v>
      </c>
    </row>
    <row r="71" spans="1:8" ht="15" customHeight="1" x14ac:dyDescent="0.25">
      <c r="B71" s="429">
        <v>2027</v>
      </c>
      <c r="C71" s="429" t="s">
        <v>276</v>
      </c>
      <c r="D71" s="437"/>
      <c r="E71" s="429" t="s">
        <v>259</v>
      </c>
      <c r="F71" s="430" t="s">
        <v>272</v>
      </c>
    </row>
    <row r="72" spans="1:8" ht="15" customHeight="1" x14ac:dyDescent="0.25">
      <c r="B72" s="429">
        <v>2028</v>
      </c>
      <c r="C72" s="429" t="s">
        <v>276</v>
      </c>
      <c r="D72" s="437"/>
      <c r="E72" s="429" t="s">
        <v>259</v>
      </c>
      <c r="F72" s="430" t="s">
        <v>273</v>
      </c>
    </row>
    <row r="73" spans="1:8" ht="15" customHeight="1" x14ac:dyDescent="0.25">
      <c r="B73" s="429">
        <v>2022</v>
      </c>
      <c r="C73" s="430" t="s">
        <v>277</v>
      </c>
      <c r="D73" s="437">
        <v>0.30967320468878201</v>
      </c>
      <c r="E73" s="429" t="s">
        <v>259</v>
      </c>
      <c r="F73" s="430" t="s">
        <v>267</v>
      </c>
    </row>
    <row r="74" spans="1:8" s="159" customFormat="1" ht="15" customHeight="1" x14ac:dyDescent="0.25">
      <c r="A74" s="61"/>
      <c r="B74" s="429">
        <v>2023</v>
      </c>
      <c r="C74" s="430" t="s">
        <v>277</v>
      </c>
      <c r="D74" s="437">
        <v>0.3096504093399467</v>
      </c>
      <c r="E74" s="429" t="s">
        <v>259</v>
      </c>
      <c r="F74" s="430" t="s">
        <v>268</v>
      </c>
      <c r="G74" s="62"/>
      <c r="H74" s="62"/>
    </row>
    <row r="75" spans="1:8" ht="15" customHeight="1" x14ac:dyDescent="0.25">
      <c r="B75" s="429">
        <v>2024</v>
      </c>
      <c r="C75" s="430" t="s">
        <v>277</v>
      </c>
      <c r="D75" s="437">
        <v>0.27868536840595204</v>
      </c>
      <c r="E75" s="429" t="s">
        <v>259</v>
      </c>
      <c r="F75" s="430" t="s">
        <v>269</v>
      </c>
      <c r="H75" s="16"/>
    </row>
    <row r="76" spans="1:8" ht="15" customHeight="1" x14ac:dyDescent="0.25">
      <c r="B76" s="429">
        <v>2025</v>
      </c>
      <c r="C76" s="430" t="s">
        <v>277</v>
      </c>
      <c r="D76" s="437"/>
      <c r="E76" s="429" t="s">
        <v>259</v>
      </c>
      <c r="F76" s="430" t="s">
        <v>270</v>
      </c>
      <c r="H76" s="16"/>
    </row>
    <row r="77" spans="1:8" ht="15" customHeight="1" x14ac:dyDescent="0.25">
      <c r="B77" s="429">
        <v>2026</v>
      </c>
      <c r="C77" s="430" t="s">
        <v>277</v>
      </c>
      <c r="D77" s="437"/>
      <c r="E77" s="429" t="s">
        <v>259</v>
      </c>
      <c r="F77" s="430" t="s">
        <v>271</v>
      </c>
    </row>
    <row r="78" spans="1:8" ht="15" customHeight="1" x14ac:dyDescent="0.25">
      <c r="B78" s="429">
        <v>2027</v>
      </c>
      <c r="C78" s="430" t="s">
        <v>277</v>
      </c>
      <c r="D78" s="437"/>
      <c r="E78" s="429" t="s">
        <v>259</v>
      </c>
      <c r="F78" s="430" t="s">
        <v>272</v>
      </c>
    </row>
    <row r="79" spans="1:8" ht="15" customHeight="1" x14ac:dyDescent="0.25">
      <c r="B79" s="429">
        <v>2028</v>
      </c>
      <c r="C79" s="430" t="s">
        <v>277</v>
      </c>
      <c r="D79" s="437"/>
      <c r="E79" s="429" t="s">
        <v>259</v>
      </c>
      <c r="F79" s="430" t="s">
        <v>273</v>
      </c>
    </row>
    <row r="82" spans="2:6" ht="15" customHeight="1" x14ac:dyDescent="0.25">
      <c r="B82" s="421" t="s">
        <v>278</v>
      </c>
      <c r="C82" s="422"/>
      <c r="E82" s="2"/>
      <c r="F82" s="2"/>
    </row>
    <row r="83" spans="2:6" ht="15" customHeight="1" x14ac:dyDescent="0.25">
      <c r="B83" s="423" t="s">
        <v>244</v>
      </c>
      <c r="C83" s="423" t="s">
        <v>279</v>
      </c>
      <c r="D83" s="425" t="s">
        <v>246</v>
      </c>
      <c r="E83" s="425" t="s">
        <v>247</v>
      </c>
      <c r="F83" s="441" t="s">
        <v>248</v>
      </c>
    </row>
    <row r="84" spans="2:6" ht="15" customHeight="1" x14ac:dyDescent="0.25">
      <c r="B84" s="429">
        <v>2022</v>
      </c>
      <c r="C84" s="442" t="s">
        <v>280</v>
      </c>
      <c r="D84" s="437">
        <v>2.2584163556740515</v>
      </c>
      <c r="E84" s="429" t="s">
        <v>281</v>
      </c>
      <c r="F84" s="430" t="s">
        <v>282</v>
      </c>
    </row>
    <row r="85" spans="2:6" ht="15" customHeight="1" x14ac:dyDescent="0.25">
      <c r="B85" s="429">
        <v>2023</v>
      </c>
      <c r="C85" s="442" t="s">
        <v>280</v>
      </c>
      <c r="D85" s="437">
        <v>2.2461381534585034</v>
      </c>
      <c r="E85" s="429" t="s">
        <v>281</v>
      </c>
      <c r="F85" s="430" t="s">
        <v>283</v>
      </c>
    </row>
    <row r="86" spans="2:6" ht="15" customHeight="1" x14ac:dyDescent="0.25">
      <c r="B86" s="429">
        <v>2024</v>
      </c>
      <c r="C86" s="442" t="s">
        <v>280</v>
      </c>
      <c r="D86" s="437">
        <v>2.2539486753055447</v>
      </c>
      <c r="E86" s="429" t="s">
        <v>281</v>
      </c>
      <c r="F86" s="430" t="s">
        <v>284</v>
      </c>
    </row>
    <row r="87" spans="2:6" ht="15" customHeight="1" x14ac:dyDescent="0.25">
      <c r="B87" s="429">
        <v>2025</v>
      </c>
      <c r="C87" s="442" t="s">
        <v>280</v>
      </c>
      <c r="D87" s="399"/>
      <c r="E87" s="429" t="s">
        <v>281</v>
      </c>
      <c r="F87" s="430" t="s">
        <v>270</v>
      </c>
    </row>
    <row r="88" spans="2:6" ht="15" customHeight="1" x14ac:dyDescent="0.25">
      <c r="B88" s="429">
        <v>2026</v>
      </c>
      <c r="C88" s="442" t="s">
        <v>280</v>
      </c>
      <c r="D88" s="399"/>
      <c r="E88" s="429" t="s">
        <v>281</v>
      </c>
      <c r="F88" s="430" t="s">
        <v>271</v>
      </c>
    </row>
    <row r="89" spans="2:6" ht="15" customHeight="1" x14ac:dyDescent="0.25">
      <c r="B89" s="429">
        <v>2027</v>
      </c>
      <c r="C89" s="442" t="s">
        <v>280</v>
      </c>
      <c r="D89" s="399"/>
      <c r="E89" s="429" t="s">
        <v>281</v>
      </c>
      <c r="F89" s="430" t="s">
        <v>272</v>
      </c>
    </row>
    <row r="90" spans="2:6" ht="15" customHeight="1" x14ac:dyDescent="0.25">
      <c r="B90" s="429">
        <v>2028</v>
      </c>
      <c r="C90" s="442" t="s">
        <v>280</v>
      </c>
      <c r="D90" s="399"/>
      <c r="E90" s="429" t="s">
        <v>281</v>
      </c>
      <c r="F90" s="430" t="s">
        <v>273</v>
      </c>
    </row>
    <row r="91" spans="2:6" ht="15" customHeight="1" x14ac:dyDescent="0.25">
      <c r="B91" s="429">
        <v>2022</v>
      </c>
      <c r="C91" s="442" t="s">
        <v>285</v>
      </c>
      <c r="D91" s="437">
        <v>2.25884374011761</v>
      </c>
      <c r="E91" s="430" t="s">
        <v>281</v>
      </c>
      <c r="F91" s="430" t="s">
        <v>282</v>
      </c>
    </row>
    <row r="92" spans="2:6" ht="15" customHeight="1" x14ac:dyDescent="0.25">
      <c r="B92" s="429">
        <v>2023</v>
      </c>
      <c r="C92" s="442" t="s">
        <v>285</v>
      </c>
      <c r="D92" s="437">
        <v>2.2463205156380472</v>
      </c>
      <c r="E92" s="430" t="s">
        <v>281</v>
      </c>
      <c r="F92" s="430" t="s">
        <v>283</v>
      </c>
    </row>
    <row r="93" spans="2:6" ht="15" customHeight="1" x14ac:dyDescent="0.25">
      <c r="B93" s="429">
        <v>2024</v>
      </c>
      <c r="C93" s="442" t="s">
        <v>285</v>
      </c>
      <c r="D93" s="437">
        <v>2.2549568873893024</v>
      </c>
      <c r="E93" s="430" t="s">
        <v>281</v>
      </c>
      <c r="F93" s="430" t="s">
        <v>284</v>
      </c>
    </row>
    <row r="94" spans="2:6" ht="15" customHeight="1" x14ac:dyDescent="0.25">
      <c r="B94" s="429">
        <v>2025</v>
      </c>
      <c r="C94" s="442" t="s">
        <v>285</v>
      </c>
      <c r="D94" s="399"/>
      <c r="E94" s="430" t="s">
        <v>281</v>
      </c>
      <c r="F94" s="430" t="s">
        <v>270</v>
      </c>
    </row>
    <row r="95" spans="2:6" ht="15" customHeight="1" x14ac:dyDescent="0.25">
      <c r="B95" s="429">
        <v>2026</v>
      </c>
      <c r="C95" s="442" t="s">
        <v>285</v>
      </c>
      <c r="D95" s="399"/>
      <c r="E95" s="430" t="s">
        <v>281</v>
      </c>
      <c r="F95" s="430" t="s">
        <v>271</v>
      </c>
    </row>
    <row r="96" spans="2:6" ht="15" customHeight="1" x14ac:dyDescent="0.25">
      <c r="B96" s="429">
        <v>2027</v>
      </c>
      <c r="C96" s="442" t="s">
        <v>285</v>
      </c>
      <c r="D96" s="399"/>
      <c r="E96" s="430" t="s">
        <v>281</v>
      </c>
      <c r="F96" s="430" t="s">
        <v>272</v>
      </c>
    </row>
    <row r="97" spans="2:6" ht="15" customHeight="1" x14ac:dyDescent="0.25">
      <c r="B97" s="429">
        <v>2028</v>
      </c>
      <c r="C97" s="442" t="s">
        <v>285</v>
      </c>
      <c r="D97" s="399"/>
      <c r="E97" s="430" t="s">
        <v>281</v>
      </c>
      <c r="F97" s="430" t="s">
        <v>273</v>
      </c>
    </row>
    <row r="98" spans="2:6" ht="15" customHeight="1" x14ac:dyDescent="0.25">
      <c r="B98" s="429">
        <v>2022</v>
      </c>
      <c r="C98" s="442" t="s">
        <v>286</v>
      </c>
      <c r="D98" s="437">
        <v>1.369294808464085E-2</v>
      </c>
      <c r="E98" s="430" t="s">
        <v>287</v>
      </c>
      <c r="F98" s="430" t="s">
        <v>288</v>
      </c>
    </row>
    <row r="99" spans="2:6" ht="15" customHeight="1" x14ac:dyDescent="0.25">
      <c r="B99" s="429">
        <v>2023</v>
      </c>
      <c r="C99" s="442" t="s">
        <v>286</v>
      </c>
      <c r="D99" s="437">
        <v>1.9015006350664311E-2</v>
      </c>
      <c r="E99" s="430" t="s">
        <v>287</v>
      </c>
      <c r="F99" s="430" t="s">
        <v>289</v>
      </c>
    </row>
    <row r="100" spans="2:6" ht="15" customHeight="1" x14ac:dyDescent="0.25">
      <c r="B100" s="429">
        <v>2024</v>
      </c>
      <c r="C100" s="442" t="s">
        <v>286</v>
      </c>
      <c r="D100" s="437">
        <v>1.7253427429581001E-2</v>
      </c>
      <c r="E100" s="430" t="s">
        <v>287</v>
      </c>
      <c r="F100" s="430" t="s">
        <v>290</v>
      </c>
    </row>
    <row r="101" spans="2:6" ht="15" customHeight="1" x14ac:dyDescent="0.25">
      <c r="B101" s="429">
        <v>2025</v>
      </c>
      <c r="C101" s="442" t="s">
        <v>286</v>
      </c>
      <c r="D101" s="399"/>
      <c r="E101" s="430" t="s">
        <v>287</v>
      </c>
      <c r="F101" s="430" t="s">
        <v>270</v>
      </c>
    </row>
    <row r="102" spans="2:6" ht="15" customHeight="1" x14ac:dyDescent="0.25">
      <c r="B102" s="429">
        <v>2026</v>
      </c>
      <c r="C102" s="442" t="s">
        <v>286</v>
      </c>
      <c r="D102" s="399"/>
      <c r="E102" s="430" t="s">
        <v>287</v>
      </c>
      <c r="F102" s="430" t="s">
        <v>271</v>
      </c>
    </row>
    <row r="103" spans="2:6" ht="15" customHeight="1" x14ac:dyDescent="0.25">
      <c r="B103" s="429">
        <v>2027</v>
      </c>
      <c r="C103" s="442" t="s">
        <v>286</v>
      </c>
      <c r="D103" s="399"/>
      <c r="E103" s="430" t="s">
        <v>287</v>
      </c>
      <c r="F103" s="430" t="s">
        <v>272</v>
      </c>
    </row>
    <row r="104" spans="2:6" ht="15" customHeight="1" x14ac:dyDescent="0.25">
      <c r="B104" s="429">
        <v>2028</v>
      </c>
      <c r="C104" s="442" t="s">
        <v>286</v>
      </c>
      <c r="D104" s="399"/>
      <c r="E104" s="430" t="s">
        <v>287</v>
      </c>
      <c r="F104" s="430" t="s">
        <v>273</v>
      </c>
    </row>
    <row r="105" spans="2:6" s="19" customFormat="1" ht="15" customHeight="1" x14ac:dyDescent="0.25">
      <c r="B105" s="512">
        <v>2022</v>
      </c>
      <c r="C105" s="444" t="s">
        <v>291</v>
      </c>
      <c r="D105" s="438">
        <v>2.6456243221875493</v>
      </c>
      <c r="E105" s="431" t="s">
        <v>292</v>
      </c>
      <c r="F105" s="431" t="s">
        <v>293</v>
      </c>
    </row>
    <row r="106" spans="2:6" ht="15" customHeight="1" x14ac:dyDescent="0.25">
      <c r="B106" s="429">
        <v>2023</v>
      </c>
      <c r="C106" s="442" t="s">
        <v>291</v>
      </c>
      <c r="D106" s="437">
        <v>2.6481957657391515</v>
      </c>
      <c r="E106" s="431" t="s">
        <v>292</v>
      </c>
      <c r="F106" s="430" t="s">
        <v>294</v>
      </c>
    </row>
    <row r="107" spans="2:6" ht="15" customHeight="1" x14ac:dyDescent="0.25">
      <c r="B107" s="429">
        <v>2024</v>
      </c>
      <c r="C107" s="442" t="s">
        <v>291</v>
      </c>
      <c r="D107" s="437">
        <v>2.648845717478129</v>
      </c>
      <c r="E107" s="431" t="s">
        <v>292</v>
      </c>
      <c r="F107" s="430" t="s">
        <v>295</v>
      </c>
    </row>
    <row r="108" spans="2:6" ht="15" customHeight="1" x14ac:dyDescent="0.25">
      <c r="B108" s="429">
        <v>2025</v>
      </c>
      <c r="C108" s="442" t="s">
        <v>291</v>
      </c>
      <c r="D108" s="399"/>
      <c r="E108" s="431" t="s">
        <v>292</v>
      </c>
      <c r="F108" s="430" t="s">
        <v>270</v>
      </c>
    </row>
    <row r="109" spans="2:6" ht="15" customHeight="1" x14ac:dyDescent="0.25">
      <c r="B109" s="429">
        <v>2026</v>
      </c>
      <c r="C109" s="442" t="s">
        <v>291</v>
      </c>
      <c r="D109" s="399"/>
      <c r="E109" s="431" t="s">
        <v>292</v>
      </c>
      <c r="F109" s="430" t="s">
        <v>271</v>
      </c>
    </row>
    <row r="110" spans="2:6" ht="15" customHeight="1" x14ac:dyDescent="0.25">
      <c r="B110" s="429">
        <v>2027</v>
      </c>
      <c r="C110" s="442" t="s">
        <v>291</v>
      </c>
      <c r="D110" s="399"/>
      <c r="E110" s="431" t="s">
        <v>292</v>
      </c>
      <c r="F110" s="430" t="s">
        <v>272</v>
      </c>
    </row>
    <row r="111" spans="2:6" ht="15" customHeight="1" x14ac:dyDescent="0.25">
      <c r="B111" s="429">
        <v>2028</v>
      </c>
      <c r="C111" s="442" t="s">
        <v>291</v>
      </c>
      <c r="D111" s="399"/>
      <c r="E111" s="431" t="s">
        <v>292</v>
      </c>
      <c r="F111" s="430" t="s">
        <v>273</v>
      </c>
    </row>
    <row r="112" spans="2:6" ht="15" customHeight="1" x14ac:dyDescent="0.25">
      <c r="B112" s="429">
        <v>2022</v>
      </c>
      <c r="C112" s="442" t="s">
        <v>296</v>
      </c>
      <c r="D112" s="437">
        <v>2.6354162470633744</v>
      </c>
      <c r="E112" s="431" t="s">
        <v>292</v>
      </c>
      <c r="F112" s="430" t="s">
        <v>293</v>
      </c>
    </row>
    <row r="113" spans="2:6" ht="15" customHeight="1" x14ac:dyDescent="0.25">
      <c r="B113" s="429">
        <v>2023</v>
      </c>
      <c r="C113" s="442" t="s">
        <v>296</v>
      </c>
      <c r="D113" s="437">
        <v>2.6361991723522973</v>
      </c>
      <c r="E113" s="431" t="s">
        <v>292</v>
      </c>
      <c r="F113" s="430" t="s">
        <v>294</v>
      </c>
    </row>
    <row r="114" spans="2:6" ht="15" customHeight="1" x14ac:dyDescent="0.25">
      <c r="B114" s="429">
        <v>2024</v>
      </c>
      <c r="C114" s="442" t="s">
        <v>296</v>
      </c>
      <c r="D114" s="437">
        <v>2.6315840053775625</v>
      </c>
      <c r="E114" s="431" t="s">
        <v>292</v>
      </c>
      <c r="F114" s="430" t="s">
        <v>295</v>
      </c>
    </row>
    <row r="115" spans="2:6" ht="15" customHeight="1" x14ac:dyDescent="0.25">
      <c r="B115" s="429">
        <v>2025</v>
      </c>
      <c r="C115" s="442" t="s">
        <v>296</v>
      </c>
      <c r="D115" s="399"/>
      <c r="E115" s="431" t="s">
        <v>292</v>
      </c>
      <c r="F115" s="430" t="s">
        <v>270</v>
      </c>
    </row>
    <row r="116" spans="2:6" ht="15" customHeight="1" x14ac:dyDescent="0.25">
      <c r="B116" s="429">
        <v>2026</v>
      </c>
      <c r="C116" s="442" t="s">
        <v>296</v>
      </c>
      <c r="D116" s="399"/>
      <c r="E116" s="431" t="s">
        <v>292</v>
      </c>
      <c r="F116" s="430" t="s">
        <v>271</v>
      </c>
    </row>
    <row r="117" spans="2:6" ht="15" customHeight="1" x14ac:dyDescent="0.25">
      <c r="B117" s="429">
        <v>2027</v>
      </c>
      <c r="C117" s="442" t="s">
        <v>296</v>
      </c>
      <c r="D117" s="399"/>
      <c r="E117" s="431" t="s">
        <v>292</v>
      </c>
      <c r="F117" s="430" t="s">
        <v>272</v>
      </c>
    </row>
    <row r="118" spans="2:6" ht="15" customHeight="1" x14ac:dyDescent="0.25">
      <c r="B118" s="429">
        <v>2028</v>
      </c>
      <c r="C118" s="442" t="s">
        <v>296</v>
      </c>
      <c r="D118" s="399"/>
      <c r="E118" s="431" t="s">
        <v>292</v>
      </c>
      <c r="F118" s="430" t="s">
        <v>273</v>
      </c>
    </row>
    <row r="119" spans="2:6" ht="15" customHeight="1" x14ac:dyDescent="0.25">
      <c r="B119" s="429">
        <v>2022</v>
      </c>
      <c r="C119" s="442" t="s">
        <v>297</v>
      </c>
      <c r="D119" s="437">
        <v>2.6421820289063431</v>
      </c>
      <c r="E119" s="430" t="s">
        <v>281</v>
      </c>
      <c r="F119" s="430" t="s">
        <v>293</v>
      </c>
    </row>
    <row r="120" spans="2:6" ht="15" customHeight="1" x14ac:dyDescent="0.25">
      <c r="B120" s="429">
        <v>2023</v>
      </c>
      <c r="C120" s="442" t="s">
        <v>297</v>
      </c>
      <c r="D120" s="437">
        <v>2.6418565997846168</v>
      </c>
      <c r="E120" s="430" t="s">
        <v>281</v>
      </c>
      <c r="F120" s="430" t="s">
        <v>294</v>
      </c>
    </row>
    <row r="121" spans="2:6" ht="15" customHeight="1" x14ac:dyDescent="0.25">
      <c r="B121" s="429">
        <v>2024</v>
      </c>
      <c r="C121" s="442" t="s">
        <v>297</v>
      </c>
      <c r="D121" s="437">
        <v>2.6372619308341347</v>
      </c>
      <c r="E121" s="430" t="s">
        <v>281</v>
      </c>
      <c r="F121" s="430" t="s">
        <v>295</v>
      </c>
    </row>
    <row r="122" spans="2:6" ht="15" customHeight="1" x14ac:dyDescent="0.25">
      <c r="B122" s="429">
        <v>2025</v>
      </c>
      <c r="C122" s="442" t="s">
        <v>297</v>
      </c>
      <c r="D122" s="399"/>
      <c r="E122" s="430" t="s">
        <v>281</v>
      </c>
      <c r="F122" s="430" t="s">
        <v>270</v>
      </c>
    </row>
    <row r="123" spans="2:6" ht="15" customHeight="1" x14ac:dyDescent="0.25">
      <c r="B123" s="429">
        <v>2026</v>
      </c>
      <c r="C123" s="442" t="s">
        <v>297</v>
      </c>
      <c r="D123" s="399"/>
      <c r="E123" s="430" t="s">
        <v>281</v>
      </c>
      <c r="F123" s="430" t="s">
        <v>271</v>
      </c>
    </row>
    <row r="124" spans="2:6" ht="15" customHeight="1" x14ac:dyDescent="0.25">
      <c r="B124" s="429">
        <v>2027</v>
      </c>
      <c r="C124" s="442" t="s">
        <v>297</v>
      </c>
      <c r="D124" s="399"/>
      <c r="E124" s="430" t="s">
        <v>281</v>
      </c>
      <c r="F124" s="430" t="s">
        <v>272</v>
      </c>
    </row>
    <row r="125" spans="2:6" ht="15" customHeight="1" x14ac:dyDescent="0.25">
      <c r="B125" s="429">
        <v>2028</v>
      </c>
      <c r="C125" s="442" t="s">
        <v>297</v>
      </c>
      <c r="D125" s="399"/>
      <c r="E125" s="430" t="s">
        <v>281</v>
      </c>
      <c r="F125" s="430" t="s">
        <v>273</v>
      </c>
    </row>
    <row r="126" spans="2:6" ht="15" customHeight="1" x14ac:dyDescent="0.25">
      <c r="B126" s="429">
        <v>2022</v>
      </c>
      <c r="C126" s="442" t="s">
        <v>298</v>
      </c>
      <c r="D126" s="437">
        <v>2.7212696147513071</v>
      </c>
      <c r="E126" s="430" t="s">
        <v>287</v>
      </c>
      <c r="F126" s="430" t="s">
        <v>288</v>
      </c>
    </row>
    <row r="127" spans="2:6" ht="15" customHeight="1" x14ac:dyDescent="0.25">
      <c r="B127" s="429">
        <v>2023</v>
      </c>
      <c r="C127" s="442" t="s">
        <v>298</v>
      </c>
      <c r="D127" s="437">
        <v>2.7265916730173307</v>
      </c>
      <c r="E127" s="430" t="s">
        <v>287</v>
      </c>
      <c r="F127" s="430" t="s">
        <v>289</v>
      </c>
    </row>
    <row r="128" spans="2:6" ht="15" customHeight="1" x14ac:dyDescent="0.25">
      <c r="B128" s="429">
        <v>2024</v>
      </c>
      <c r="C128" s="442" t="s">
        <v>298</v>
      </c>
      <c r="D128" s="437">
        <v>2.7248300940962475</v>
      </c>
      <c r="E128" s="430" t="s">
        <v>287</v>
      </c>
      <c r="F128" s="430" t="s">
        <v>290</v>
      </c>
    </row>
    <row r="129" spans="2:6" ht="15" customHeight="1" x14ac:dyDescent="0.25">
      <c r="B129" s="429">
        <v>2025</v>
      </c>
      <c r="C129" s="442" t="s">
        <v>298</v>
      </c>
      <c r="D129" s="399"/>
      <c r="E129" s="430" t="s">
        <v>287</v>
      </c>
      <c r="F129" s="430" t="s">
        <v>270</v>
      </c>
    </row>
    <row r="130" spans="2:6" ht="15" customHeight="1" x14ac:dyDescent="0.25">
      <c r="B130" s="429">
        <v>2026</v>
      </c>
      <c r="C130" s="442" t="s">
        <v>298</v>
      </c>
      <c r="D130" s="399"/>
      <c r="E130" s="430" t="s">
        <v>287</v>
      </c>
      <c r="F130" s="430" t="s">
        <v>271</v>
      </c>
    </row>
    <row r="131" spans="2:6" ht="15" customHeight="1" x14ac:dyDescent="0.25">
      <c r="B131" s="429">
        <v>2027</v>
      </c>
      <c r="C131" s="442" t="s">
        <v>298</v>
      </c>
      <c r="D131" s="399"/>
      <c r="E131" s="430" t="s">
        <v>287</v>
      </c>
      <c r="F131" s="430" t="s">
        <v>272</v>
      </c>
    </row>
    <row r="132" spans="2:6" ht="15" customHeight="1" x14ac:dyDescent="0.25">
      <c r="B132" s="429">
        <v>2028</v>
      </c>
      <c r="C132" s="442" t="s">
        <v>298</v>
      </c>
      <c r="D132" s="399"/>
      <c r="E132" s="430" t="s">
        <v>287</v>
      </c>
      <c r="F132" s="430" t="s">
        <v>273</v>
      </c>
    </row>
    <row r="133" spans="2:6" ht="15" customHeight="1" x14ac:dyDescent="0.25">
      <c r="C133" s="442" t="s">
        <v>299</v>
      </c>
      <c r="D133" s="437">
        <v>0</v>
      </c>
      <c r="E133" s="430" t="s">
        <v>300</v>
      </c>
      <c r="F133" s="430" t="s">
        <v>301</v>
      </c>
    </row>
    <row r="134" spans="2:6" ht="15" customHeight="1" x14ac:dyDescent="0.25">
      <c r="B134" s="429">
        <v>2022</v>
      </c>
      <c r="C134" s="444" t="s">
        <v>302</v>
      </c>
      <c r="D134" s="438">
        <f>segajääk_2022</f>
        <v>0.63700000000000001</v>
      </c>
      <c r="E134" s="430" t="s">
        <v>250</v>
      </c>
      <c r="F134" s="430" t="str">
        <f>F7</f>
        <v>Elering 2022. Elektrienergia segajäägi eriheide 2021</v>
      </c>
    </row>
    <row r="135" spans="2:6" ht="15" customHeight="1" x14ac:dyDescent="0.25">
      <c r="B135" s="429">
        <v>2023</v>
      </c>
      <c r="C135" s="444" t="s">
        <v>302</v>
      </c>
      <c r="D135" s="438">
        <f>segajääk_2023</f>
        <v>0.71518000000000004</v>
      </c>
      <c r="E135" s="430" t="s">
        <v>250</v>
      </c>
      <c r="F135" s="430" t="str">
        <f>F8</f>
        <v>Elering 2023. Elektrienergia segajäägi eriheide 2022</v>
      </c>
    </row>
    <row r="136" spans="2:6" ht="15" customHeight="1" x14ac:dyDescent="0.25">
      <c r="B136" s="429">
        <v>2024</v>
      </c>
      <c r="C136" s="444" t="s">
        <v>302</v>
      </c>
      <c r="D136" s="438">
        <f>segajääk_2024</f>
        <v>0.71165999999999996</v>
      </c>
      <c r="E136" s="430" t="s">
        <v>250</v>
      </c>
      <c r="F136" s="430" t="str">
        <f>F9</f>
        <v>Elering 2024. Elektrienergia segajäägi eriheide 2023</v>
      </c>
    </row>
    <row r="137" spans="2:6" ht="15" customHeight="1" x14ac:dyDescent="0.25">
      <c r="B137" s="429">
        <v>2025</v>
      </c>
      <c r="C137" s="444" t="s">
        <v>302</v>
      </c>
      <c r="D137" s="438">
        <f>segajääk_2025</f>
        <v>0.61195999999999995</v>
      </c>
      <c r="E137" s="430" t="s">
        <v>250</v>
      </c>
      <c r="F137" s="430" t="s">
        <v>303</v>
      </c>
    </row>
    <row r="138" spans="2:6" ht="15" customHeight="1" x14ac:dyDescent="0.25">
      <c r="B138" s="429">
        <v>2026</v>
      </c>
      <c r="C138" s="444" t="s">
        <v>302</v>
      </c>
      <c r="D138" s="438">
        <f>segajääk_2026</f>
        <v>0</v>
      </c>
      <c r="E138" s="430" t="s">
        <v>250</v>
      </c>
      <c r="F138" s="430" t="s">
        <v>304</v>
      </c>
    </row>
    <row r="139" spans="2:6" ht="15" customHeight="1" x14ac:dyDescent="0.25">
      <c r="B139" s="429">
        <v>2027</v>
      </c>
      <c r="C139" s="444" t="s">
        <v>302</v>
      </c>
      <c r="D139" s="438">
        <f>segajääk_2027</f>
        <v>0</v>
      </c>
      <c r="E139" s="430" t="s">
        <v>250</v>
      </c>
      <c r="F139" s="430" t="s">
        <v>305</v>
      </c>
    </row>
    <row r="140" spans="2:6" ht="15" customHeight="1" x14ac:dyDescent="0.25">
      <c r="B140" s="429">
        <v>2028</v>
      </c>
      <c r="C140" s="444" t="s">
        <v>302</v>
      </c>
      <c r="D140" s="438">
        <f>segajääk_2028</f>
        <v>0</v>
      </c>
      <c r="E140" s="430" t="s">
        <v>250</v>
      </c>
      <c r="F140" s="430" t="s">
        <v>306</v>
      </c>
    </row>
    <row r="143" spans="2:6" ht="15" customHeight="1" x14ac:dyDescent="0.25">
      <c r="B143" s="421" t="s">
        <v>307</v>
      </c>
      <c r="C143" s="422"/>
      <c r="E143" s="2"/>
      <c r="F143" s="2"/>
    </row>
    <row r="144" spans="2:6" ht="15" customHeight="1" x14ac:dyDescent="0.25">
      <c r="B144" s="477" t="s">
        <v>308</v>
      </c>
      <c r="C144" s="478"/>
      <c r="D144" s="486" t="s">
        <v>309</v>
      </c>
      <c r="E144" s="483" t="s">
        <v>248</v>
      </c>
      <c r="F144" s="2"/>
    </row>
    <row r="145" spans="2:6" ht="15" customHeight="1" x14ac:dyDescent="0.25">
      <c r="B145" s="479"/>
      <c r="C145" s="480"/>
      <c r="D145" s="487" t="s">
        <v>310</v>
      </c>
      <c r="E145" s="484"/>
      <c r="F145" s="2"/>
    </row>
    <row r="146" spans="2:6" ht="15" customHeight="1" x14ac:dyDescent="0.25">
      <c r="B146" s="481"/>
      <c r="C146" s="482"/>
      <c r="D146" s="488" t="s">
        <v>311</v>
      </c>
      <c r="E146" s="485"/>
      <c r="F146" s="2"/>
    </row>
    <row r="147" spans="2:6" ht="15" customHeight="1" x14ac:dyDescent="0.25">
      <c r="B147" s="442" t="s">
        <v>312</v>
      </c>
      <c r="C147" s="443"/>
      <c r="D147" s="445">
        <v>1300</v>
      </c>
      <c r="E147" s="430" t="s">
        <v>313</v>
      </c>
      <c r="F147" s="2"/>
    </row>
    <row r="148" spans="2:6" ht="15" customHeight="1" x14ac:dyDescent="0.25">
      <c r="B148" s="442" t="s">
        <v>314</v>
      </c>
      <c r="C148" s="443"/>
      <c r="D148" s="445">
        <v>3942.8</v>
      </c>
      <c r="E148" s="430" t="s">
        <v>313</v>
      </c>
      <c r="F148" s="2"/>
    </row>
    <row r="149" spans="2:6" ht="15" customHeight="1" x14ac:dyDescent="0.25">
      <c r="B149" s="442" t="s">
        <v>315</v>
      </c>
      <c r="C149" s="443"/>
      <c r="D149" s="445">
        <v>1923.4</v>
      </c>
      <c r="E149" s="430" t="s">
        <v>313</v>
      </c>
      <c r="F149" s="2"/>
    </row>
    <row r="150" spans="2:6" ht="15" customHeight="1" x14ac:dyDescent="0.25">
      <c r="B150" s="442" t="s">
        <v>316</v>
      </c>
      <c r="C150" s="443"/>
      <c r="D150" s="445">
        <v>1624.3</v>
      </c>
      <c r="E150" s="430" t="s">
        <v>313</v>
      </c>
      <c r="F150" s="2"/>
    </row>
    <row r="151" spans="2:6" ht="15" customHeight="1" x14ac:dyDescent="0.25">
      <c r="B151" s="442" t="s">
        <v>317</v>
      </c>
      <c r="C151" s="443"/>
      <c r="D151" s="445">
        <v>1674.1</v>
      </c>
      <c r="E151" s="430" t="s">
        <v>313</v>
      </c>
      <c r="F151" s="2"/>
    </row>
    <row r="152" spans="2:6" ht="15" customHeight="1" x14ac:dyDescent="0.25">
      <c r="B152" s="442" t="s">
        <v>318</v>
      </c>
      <c r="C152" s="443"/>
      <c r="D152" s="445">
        <v>1923.5</v>
      </c>
      <c r="E152" s="430" t="s">
        <v>313</v>
      </c>
      <c r="F152" s="2"/>
    </row>
    <row r="153" spans="2:6" ht="15" customHeight="1" x14ac:dyDescent="0.25">
      <c r="B153" s="442" t="s">
        <v>319</v>
      </c>
      <c r="C153" s="443"/>
      <c r="D153" s="445">
        <v>2127.4</v>
      </c>
      <c r="E153" s="430" t="s">
        <v>313</v>
      </c>
      <c r="F153" s="2"/>
    </row>
    <row r="154" spans="2:6" ht="15" customHeight="1" x14ac:dyDescent="0.25">
      <c r="B154" s="442" t="s">
        <v>320</v>
      </c>
      <c r="C154" s="443"/>
      <c r="D154" s="445">
        <v>2847.2999999999997</v>
      </c>
      <c r="E154" s="430" t="s">
        <v>313</v>
      </c>
      <c r="F154" s="2"/>
    </row>
    <row r="155" spans="2:6" ht="15" customHeight="1" x14ac:dyDescent="0.25">
      <c r="B155" s="442" t="s">
        <v>321</v>
      </c>
      <c r="C155" s="443"/>
      <c r="D155" s="445">
        <v>2473.2999999999997</v>
      </c>
      <c r="E155" s="430" t="s">
        <v>313</v>
      </c>
      <c r="F155" s="2"/>
    </row>
    <row r="156" spans="2:6" ht="15" customHeight="1" x14ac:dyDescent="0.25">
      <c r="B156" s="442" t="s">
        <v>322</v>
      </c>
      <c r="C156" s="443"/>
      <c r="D156" s="445">
        <v>2024.1</v>
      </c>
      <c r="E156" s="430" t="s">
        <v>313</v>
      </c>
      <c r="F156" s="2"/>
    </row>
    <row r="157" spans="2:6" ht="15" customHeight="1" x14ac:dyDescent="0.25">
      <c r="B157" s="442" t="s">
        <v>323</v>
      </c>
      <c r="C157" s="443"/>
      <c r="D157" s="445">
        <v>3985</v>
      </c>
      <c r="E157" s="430" t="s">
        <v>313</v>
      </c>
      <c r="F157" s="2"/>
    </row>
    <row r="158" spans="2:6" ht="15" customHeight="1" x14ac:dyDescent="0.25">
      <c r="B158" s="446" t="s">
        <v>324</v>
      </c>
      <c r="C158" s="446"/>
      <c r="E158" s="2"/>
      <c r="F158" s="2"/>
    </row>
    <row r="161" spans="2:6" ht="15" customHeight="1" x14ac:dyDescent="0.25">
      <c r="B161" s="421" t="s">
        <v>325</v>
      </c>
      <c r="C161" s="422"/>
      <c r="D161" s="447"/>
      <c r="E161" s="2"/>
      <c r="F161" s="2"/>
    </row>
    <row r="162" spans="2:6" ht="15" customHeight="1" x14ac:dyDescent="0.25">
      <c r="B162" s="423" t="s">
        <v>244</v>
      </c>
      <c r="C162" s="423" t="s">
        <v>326</v>
      </c>
      <c r="D162" s="425" t="s">
        <v>246</v>
      </c>
      <c r="E162" s="425" t="s">
        <v>247</v>
      </c>
      <c r="F162" s="441" t="s">
        <v>248</v>
      </c>
    </row>
    <row r="163" spans="2:6" ht="15" customHeight="1" x14ac:dyDescent="0.25">
      <c r="B163" s="429">
        <v>2022</v>
      </c>
      <c r="C163" s="442" t="s">
        <v>327</v>
      </c>
      <c r="D163" s="437">
        <v>0.19120832501511228</v>
      </c>
      <c r="E163" s="429" t="s">
        <v>328</v>
      </c>
      <c r="F163" s="430" t="s">
        <v>329</v>
      </c>
    </row>
    <row r="164" spans="2:6" ht="15" customHeight="1" x14ac:dyDescent="0.25">
      <c r="B164" s="429">
        <v>2023</v>
      </c>
      <c r="C164" s="442" t="s">
        <v>327</v>
      </c>
      <c r="D164" s="437">
        <v>0.1987030251678587</v>
      </c>
      <c r="E164" s="429" t="s">
        <v>328</v>
      </c>
      <c r="F164" s="430" t="s">
        <v>330</v>
      </c>
    </row>
    <row r="165" spans="2:6" ht="15" customHeight="1" x14ac:dyDescent="0.25">
      <c r="B165" s="429">
        <v>2024</v>
      </c>
      <c r="C165" s="442" t="s">
        <v>327</v>
      </c>
      <c r="D165" s="437">
        <v>0.19091238197802346</v>
      </c>
      <c r="E165" s="429" t="s">
        <v>328</v>
      </c>
      <c r="F165" s="430" t="s">
        <v>331</v>
      </c>
    </row>
    <row r="166" spans="2:6" ht="15" customHeight="1" x14ac:dyDescent="0.25">
      <c r="B166" s="429">
        <v>2025</v>
      </c>
      <c r="C166" s="442" t="s">
        <v>327</v>
      </c>
      <c r="D166" s="399"/>
      <c r="E166" s="429" t="s">
        <v>328</v>
      </c>
      <c r="F166" s="430" t="s">
        <v>270</v>
      </c>
    </row>
    <row r="167" spans="2:6" ht="15" customHeight="1" x14ac:dyDescent="0.25">
      <c r="B167" s="429">
        <v>2026</v>
      </c>
      <c r="C167" s="442" t="s">
        <v>327</v>
      </c>
      <c r="D167" s="399"/>
      <c r="E167" s="429" t="s">
        <v>328</v>
      </c>
      <c r="F167" s="430" t="s">
        <v>271</v>
      </c>
    </row>
    <row r="168" spans="2:6" ht="15" customHeight="1" x14ac:dyDescent="0.25">
      <c r="B168" s="429">
        <v>2027</v>
      </c>
      <c r="C168" s="442" t="s">
        <v>327</v>
      </c>
      <c r="D168" s="399"/>
      <c r="E168" s="429" t="s">
        <v>328</v>
      </c>
      <c r="F168" s="430" t="s">
        <v>272</v>
      </c>
    </row>
    <row r="169" spans="2:6" ht="15" customHeight="1" x14ac:dyDescent="0.25">
      <c r="B169" s="429">
        <v>2028</v>
      </c>
      <c r="C169" s="442" t="s">
        <v>327</v>
      </c>
      <c r="D169" s="399"/>
      <c r="E169" s="429" t="s">
        <v>328</v>
      </c>
      <c r="F169" s="430" t="s">
        <v>273</v>
      </c>
    </row>
    <row r="170" spans="2:6" ht="15" customHeight="1" x14ac:dyDescent="0.25">
      <c r="B170" s="429">
        <v>2022</v>
      </c>
      <c r="C170" s="442" t="s">
        <v>332</v>
      </c>
      <c r="D170" s="437">
        <v>0.15060969005304506</v>
      </c>
      <c r="E170" s="429" t="s">
        <v>328</v>
      </c>
      <c r="F170" s="430" t="s">
        <v>329</v>
      </c>
    </row>
    <row r="171" spans="2:6" ht="15" customHeight="1" x14ac:dyDescent="0.25">
      <c r="B171" s="429">
        <v>2023</v>
      </c>
      <c r="C171" s="442" t="s">
        <v>332</v>
      </c>
      <c r="D171" s="437">
        <v>0.16202207502363047</v>
      </c>
      <c r="E171" s="429" t="s">
        <v>328</v>
      </c>
      <c r="F171" s="430" t="s">
        <v>330</v>
      </c>
    </row>
    <row r="172" spans="2:6" ht="15" customHeight="1" x14ac:dyDescent="0.25">
      <c r="B172" s="429">
        <v>2024</v>
      </c>
      <c r="C172" s="442" t="s">
        <v>332</v>
      </c>
      <c r="D172" s="437">
        <v>0.15430071720382982</v>
      </c>
      <c r="E172" s="429" t="s">
        <v>328</v>
      </c>
      <c r="F172" s="430" t="s">
        <v>331</v>
      </c>
    </row>
    <row r="173" spans="2:6" ht="15" customHeight="1" x14ac:dyDescent="0.25">
      <c r="B173" s="429">
        <v>2025</v>
      </c>
      <c r="C173" s="442" t="s">
        <v>332</v>
      </c>
      <c r="D173" s="399"/>
      <c r="E173" s="429" t="s">
        <v>328</v>
      </c>
      <c r="F173" s="430" t="s">
        <v>270</v>
      </c>
    </row>
    <row r="174" spans="2:6" ht="15" customHeight="1" x14ac:dyDescent="0.25">
      <c r="B174" s="429">
        <v>2026</v>
      </c>
      <c r="C174" s="442" t="s">
        <v>332</v>
      </c>
      <c r="D174" s="399"/>
      <c r="E174" s="429" t="s">
        <v>328</v>
      </c>
      <c r="F174" s="430" t="s">
        <v>271</v>
      </c>
    </row>
    <row r="175" spans="2:6" ht="15" customHeight="1" x14ac:dyDescent="0.25">
      <c r="B175" s="429">
        <v>2027</v>
      </c>
      <c r="C175" s="442" t="s">
        <v>332</v>
      </c>
      <c r="D175" s="399"/>
      <c r="E175" s="429" t="s">
        <v>328</v>
      </c>
      <c r="F175" s="430" t="s">
        <v>272</v>
      </c>
    </row>
    <row r="176" spans="2:6" ht="15" customHeight="1" x14ac:dyDescent="0.25">
      <c r="B176" s="429">
        <v>2028</v>
      </c>
      <c r="C176" s="442" t="s">
        <v>332</v>
      </c>
      <c r="D176" s="399"/>
      <c r="E176" s="429" t="s">
        <v>328</v>
      </c>
      <c r="F176" s="430" t="s">
        <v>273</v>
      </c>
    </row>
    <row r="177" spans="2:6" ht="15" customHeight="1" x14ac:dyDescent="0.25">
      <c r="B177" s="429">
        <v>2022</v>
      </c>
      <c r="C177" s="442" t="s">
        <v>333</v>
      </c>
      <c r="D177" s="437">
        <v>7.8774591971879945E-4</v>
      </c>
      <c r="E177" s="429" t="s">
        <v>328</v>
      </c>
      <c r="F177" s="430" t="s">
        <v>334</v>
      </c>
    </row>
    <row r="178" spans="2:6" ht="15" customHeight="1" x14ac:dyDescent="0.25">
      <c r="B178" s="429">
        <v>2023</v>
      </c>
      <c r="C178" s="442" t="s">
        <v>333</v>
      </c>
      <c r="D178" s="437">
        <v>2.4256892517526413E-3</v>
      </c>
      <c r="E178" s="429" t="s">
        <v>328</v>
      </c>
      <c r="F178" s="430" t="s">
        <v>334</v>
      </c>
    </row>
    <row r="179" spans="2:6" ht="15" customHeight="1" x14ac:dyDescent="0.25">
      <c r="B179" s="429">
        <v>2024</v>
      </c>
      <c r="C179" s="442" t="s">
        <v>333</v>
      </c>
      <c r="D179" s="437">
        <v>7.9741694074069792E-4</v>
      </c>
      <c r="E179" s="429" t="s">
        <v>328</v>
      </c>
      <c r="F179" s="430" t="s">
        <v>334</v>
      </c>
    </row>
    <row r="180" spans="2:6" ht="15" customHeight="1" x14ac:dyDescent="0.25">
      <c r="B180" s="429">
        <v>2025</v>
      </c>
      <c r="C180" s="442" t="s">
        <v>333</v>
      </c>
      <c r="D180" s="399"/>
      <c r="E180" s="429" t="s">
        <v>328</v>
      </c>
      <c r="F180" s="498"/>
    </row>
    <row r="181" spans="2:6" ht="15" customHeight="1" x14ac:dyDescent="0.25">
      <c r="B181" s="429">
        <v>2026</v>
      </c>
      <c r="C181" s="442" t="s">
        <v>333</v>
      </c>
      <c r="D181" s="399"/>
      <c r="E181" s="429" t="s">
        <v>328</v>
      </c>
      <c r="F181" s="498"/>
    </row>
    <row r="182" spans="2:6" ht="15" customHeight="1" x14ac:dyDescent="0.25">
      <c r="B182" s="429">
        <v>2027</v>
      </c>
      <c r="C182" s="442" t="s">
        <v>333</v>
      </c>
      <c r="D182" s="399"/>
      <c r="E182" s="429" t="s">
        <v>328</v>
      </c>
      <c r="F182" s="498"/>
    </row>
    <row r="183" spans="2:6" ht="15" customHeight="1" x14ac:dyDescent="0.25">
      <c r="B183" s="429">
        <v>2028</v>
      </c>
      <c r="C183" s="442" t="s">
        <v>333</v>
      </c>
      <c r="D183" s="399"/>
      <c r="E183" s="429" t="s">
        <v>328</v>
      </c>
      <c r="F183" s="498"/>
    </row>
    <row r="184" spans="2:6" ht="15" customHeight="1" x14ac:dyDescent="0.25">
      <c r="B184" s="429">
        <v>2022</v>
      </c>
      <c r="C184" s="442" t="s">
        <v>335</v>
      </c>
      <c r="D184" s="437">
        <v>0.15655277608768631</v>
      </c>
      <c r="E184" s="429" t="s">
        <v>328</v>
      </c>
      <c r="F184" s="430" t="s">
        <v>329</v>
      </c>
    </row>
    <row r="185" spans="2:6" ht="15" customHeight="1" x14ac:dyDescent="0.25">
      <c r="B185" s="429">
        <v>2023</v>
      </c>
      <c r="C185" s="442" t="s">
        <v>335</v>
      </c>
      <c r="D185" s="437">
        <v>0.15971478461091224</v>
      </c>
      <c r="E185" s="429" t="s">
        <v>328</v>
      </c>
      <c r="F185" s="430" t="s">
        <v>330</v>
      </c>
    </row>
    <row r="186" spans="2:6" ht="15" customHeight="1" x14ac:dyDescent="0.25">
      <c r="B186" s="429">
        <v>2024</v>
      </c>
      <c r="C186" s="442" t="s">
        <v>335</v>
      </c>
      <c r="D186" s="437">
        <v>0.1403949953563827</v>
      </c>
      <c r="E186" s="429" t="s">
        <v>328</v>
      </c>
      <c r="F186" s="430" t="s">
        <v>331</v>
      </c>
    </row>
    <row r="187" spans="2:6" ht="15" customHeight="1" x14ac:dyDescent="0.25">
      <c r="B187" s="429">
        <v>2025</v>
      </c>
      <c r="C187" s="442" t="s">
        <v>335</v>
      </c>
      <c r="D187" s="399"/>
      <c r="E187" s="429" t="s">
        <v>328</v>
      </c>
      <c r="F187" s="430" t="s">
        <v>270</v>
      </c>
    </row>
    <row r="188" spans="2:6" ht="15" customHeight="1" x14ac:dyDescent="0.25">
      <c r="B188" s="429">
        <v>2026</v>
      </c>
      <c r="C188" s="442" t="s">
        <v>335</v>
      </c>
      <c r="D188" s="399"/>
      <c r="E188" s="429" t="s">
        <v>328</v>
      </c>
      <c r="F188" s="430" t="s">
        <v>271</v>
      </c>
    </row>
    <row r="189" spans="2:6" ht="15" customHeight="1" x14ac:dyDescent="0.25">
      <c r="B189" s="429">
        <v>2027</v>
      </c>
      <c r="C189" s="442" t="s">
        <v>335</v>
      </c>
      <c r="D189" s="399"/>
      <c r="E189" s="429" t="s">
        <v>328</v>
      </c>
      <c r="F189" s="430" t="s">
        <v>272</v>
      </c>
    </row>
    <row r="190" spans="2:6" ht="15" customHeight="1" x14ac:dyDescent="0.25">
      <c r="B190" s="429">
        <v>2028</v>
      </c>
      <c r="C190" s="442" t="s">
        <v>335</v>
      </c>
      <c r="D190" s="399"/>
      <c r="E190" s="429" t="s">
        <v>328</v>
      </c>
      <c r="F190" s="430" t="s">
        <v>273</v>
      </c>
    </row>
    <row r="191" spans="2:6" s="19" customFormat="1" ht="15" customHeight="1" x14ac:dyDescent="0.25">
      <c r="B191" s="512">
        <v>2022</v>
      </c>
      <c r="C191" s="444" t="s">
        <v>336</v>
      </c>
      <c r="D191" s="438">
        <v>0.11987633056454484</v>
      </c>
      <c r="E191" s="512" t="s">
        <v>337</v>
      </c>
      <c r="F191" s="431" t="s">
        <v>329</v>
      </c>
    </row>
    <row r="192" spans="2:6" ht="15" customHeight="1" x14ac:dyDescent="0.25">
      <c r="B192" s="429">
        <v>2023</v>
      </c>
      <c r="C192" s="442" t="s">
        <v>336</v>
      </c>
      <c r="D192" s="437">
        <v>0.12446904837604839</v>
      </c>
      <c r="E192" s="429" t="s">
        <v>328</v>
      </c>
      <c r="F192" s="430" t="s">
        <v>330</v>
      </c>
    </row>
    <row r="193" spans="2:6" ht="15" customHeight="1" x14ac:dyDescent="0.25">
      <c r="B193" s="429">
        <v>2024</v>
      </c>
      <c r="C193" s="442" t="s">
        <v>336</v>
      </c>
      <c r="D193" s="437">
        <v>0.12368321264114203</v>
      </c>
      <c r="E193" s="429" t="s">
        <v>328</v>
      </c>
      <c r="F193" s="430" t="s">
        <v>331</v>
      </c>
    </row>
    <row r="194" spans="2:6" ht="15" customHeight="1" x14ac:dyDescent="0.25">
      <c r="B194" s="429">
        <v>2025</v>
      </c>
      <c r="C194" s="442" t="s">
        <v>336</v>
      </c>
      <c r="D194" s="399"/>
      <c r="E194" s="429" t="s">
        <v>328</v>
      </c>
      <c r="F194" s="430" t="s">
        <v>270</v>
      </c>
    </row>
    <row r="195" spans="2:6" ht="15" customHeight="1" x14ac:dyDescent="0.25">
      <c r="B195" s="429">
        <v>2026</v>
      </c>
      <c r="C195" s="442" t="s">
        <v>336</v>
      </c>
      <c r="D195" s="399"/>
      <c r="E195" s="429" t="s">
        <v>328</v>
      </c>
      <c r="F195" s="430" t="s">
        <v>271</v>
      </c>
    </row>
    <row r="196" spans="2:6" ht="15" customHeight="1" x14ac:dyDescent="0.25">
      <c r="B196" s="429">
        <v>2027</v>
      </c>
      <c r="C196" s="442" t="s">
        <v>336</v>
      </c>
      <c r="D196" s="399"/>
      <c r="E196" s="429" t="s">
        <v>328</v>
      </c>
      <c r="F196" s="430" t="s">
        <v>272</v>
      </c>
    </row>
    <row r="197" spans="2:6" ht="15" customHeight="1" x14ac:dyDescent="0.25">
      <c r="B197" s="429">
        <v>2028</v>
      </c>
      <c r="C197" s="442" t="s">
        <v>336</v>
      </c>
      <c r="D197" s="399"/>
      <c r="E197" s="429" t="s">
        <v>328</v>
      </c>
      <c r="F197" s="430" t="s">
        <v>273</v>
      </c>
    </row>
    <row r="198" spans="2:6" ht="15" customHeight="1" x14ac:dyDescent="0.25">
      <c r="B198" s="498"/>
      <c r="C198" s="442" t="s">
        <v>338</v>
      </c>
      <c r="D198" s="437">
        <v>0</v>
      </c>
      <c r="E198" s="429" t="s">
        <v>328</v>
      </c>
      <c r="F198" s="430" t="s">
        <v>339</v>
      </c>
    </row>
    <row r="199" spans="2:6" ht="15" customHeight="1" x14ac:dyDescent="0.25">
      <c r="B199" s="429">
        <v>2022</v>
      </c>
      <c r="C199" s="442" t="s">
        <v>340</v>
      </c>
      <c r="D199" s="437">
        <f>segajääk_2022*0.2</f>
        <v>0.12740000000000001</v>
      </c>
      <c r="E199" s="429" t="s">
        <v>328</v>
      </c>
      <c r="F199" s="430" t="s">
        <v>341</v>
      </c>
    </row>
    <row r="200" spans="2:6" ht="15" customHeight="1" x14ac:dyDescent="0.25">
      <c r="B200" s="429">
        <v>2023</v>
      </c>
      <c r="C200" s="442" t="s">
        <v>340</v>
      </c>
      <c r="D200" s="437">
        <f>segajääk_2023*0.2</f>
        <v>0.14303600000000002</v>
      </c>
      <c r="E200" s="429" t="s">
        <v>328</v>
      </c>
      <c r="F200" s="430" t="s">
        <v>341</v>
      </c>
    </row>
    <row r="201" spans="2:6" ht="15" customHeight="1" x14ac:dyDescent="0.25">
      <c r="B201" s="429">
        <v>2024</v>
      </c>
      <c r="C201" s="442" t="s">
        <v>340</v>
      </c>
      <c r="D201" s="437">
        <f>segajääk_2024*0.2</f>
        <v>0.14233199999999999</v>
      </c>
      <c r="E201" s="429" t="s">
        <v>328</v>
      </c>
      <c r="F201" s="430" t="s">
        <v>341</v>
      </c>
    </row>
    <row r="202" spans="2:6" ht="15" customHeight="1" x14ac:dyDescent="0.25">
      <c r="B202" s="429">
        <v>2025</v>
      </c>
      <c r="C202" s="442" t="s">
        <v>340</v>
      </c>
      <c r="D202" s="437">
        <f>segajääk_2025*0.2</f>
        <v>0.122392</v>
      </c>
      <c r="E202" s="429" t="s">
        <v>328</v>
      </c>
      <c r="F202" s="430" t="s">
        <v>341</v>
      </c>
    </row>
    <row r="203" spans="2:6" ht="15" customHeight="1" x14ac:dyDescent="0.25">
      <c r="B203" s="429">
        <v>2026</v>
      </c>
      <c r="C203" s="442" t="s">
        <v>340</v>
      </c>
      <c r="D203" s="437">
        <f>segajääk_2026*0.2</f>
        <v>0</v>
      </c>
      <c r="E203" s="429" t="s">
        <v>328</v>
      </c>
      <c r="F203" s="430" t="s">
        <v>341</v>
      </c>
    </row>
    <row r="204" spans="2:6" ht="15" customHeight="1" x14ac:dyDescent="0.25">
      <c r="B204" s="429">
        <v>2027</v>
      </c>
      <c r="C204" s="442" t="s">
        <v>340</v>
      </c>
      <c r="D204" s="437">
        <f>segajääk_2027*0.2</f>
        <v>0</v>
      </c>
      <c r="E204" s="429" t="s">
        <v>328</v>
      </c>
      <c r="F204" s="430" t="s">
        <v>341</v>
      </c>
    </row>
    <row r="205" spans="2:6" ht="15" customHeight="1" x14ac:dyDescent="0.25">
      <c r="B205" s="429">
        <v>2028</v>
      </c>
      <c r="C205" s="442" t="s">
        <v>340</v>
      </c>
      <c r="D205" s="437">
        <f>segajääk_2028*0.2</f>
        <v>0</v>
      </c>
      <c r="E205" s="429" t="s">
        <v>328</v>
      </c>
      <c r="F205" s="430" t="s">
        <v>341</v>
      </c>
    </row>
    <row r="206" spans="2:6" s="19" customFormat="1" ht="15" customHeight="1" x14ac:dyDescent="0.25">
      <c r="B206" s="512">
        <v>2022</v>
      </c>
      <c r="C206" s="444" t="s">
        <v>342</v>
      </c>
      <c r="D206" s="513">
        <v>0.18053987907914804</v>
      </c>
      <c r="E206" s="512" t="s">
        <v>337</v>
      </c>
      <c r="F206" s="431" t="s">
        <v>501</v>
      </c>
    </row>
    <row r="207" spans="2:6" ht="15" customHeight="1" x14ac:dyDescent="0.25">
      <c r="B207" s="429">
        <v>2023</v>
      </c>
      <c r="C207" s="442" t="s">
        <v>342</v>
      </c>
      <c r="D207" s="448">
        <v>0.18929954423124906</v>
      </c>
      <c r="E207" s="429" t="s">
        <v>328</v>
      </c>
      <c r="F207" s="430" t="s">
        <v>343</v>
      </c>
    </row>
    <row r="208" spans="2:6" ht="15" customHeight="1" x14ac:dyDescent="0.25">
      <c r="B208" s="429">
        <v>2024</v>
      </c>
      <c r="C208" s="442" t="s">
        <v>342</v>
      </c>
      <c r="D208" s="437">
        <v>0.18393292099730699</v>
      </c>
      <c r="E208" s="429" t="s">
        <v>328</v>
      </c>
      <c r="F208" s="430" t="s">
        <v>344</v>
      </c>
    </row>
    <row r="209" spans="2:6" ht="15" customHeight="1" x14ac:dyDescent="0.25">
      <c r="B209" s="429">
        <v>2025</v>
      </c>
      <c r="C209" s="442" t="s">
        <v>342</v>
      </c>
      <c r="D209" s="399"/>
      <c r="E209" s="429" t="s">
        <v>328</v>
      </c>
      <c r="F209" s="430" t="s">
        <v>345</v>
      </c>
    </row>
    <row r="210" spans="2:6" ht="15" customHeight="1" x14ac:dyDescent="0.25">
      <c r="B210" s="429">
        <v>2026</v>
      </c>
      <c r="C210" s="442" t="s">
        <v>342</v>
      </c>
      <c r="D210" s="399"/>
      <c r="E210" s="429" t="s">
        <v>328</v>
      </c>
      <c r="F210" s="430" t="s">
        <v>346</v>
      </c>
    </row>
    <row r="211" spans="2:6" ht="15" customHeight="1" x14ac:dyDescent="0.25">
      <c r="B211" s="429">
        <v>2027</v>
      </c>
      <c r="C211" s="442" t="s">
        <v>342</v>
      </c>
      <c r="D211" s="399"/>
      <c r="E211" s="429" t="s">
        <v>328</v>
      </c>
      <c r="F211" s="430" t="s">
        <v>347</v>
      </c>
    </row>
    <row r="212" spans="2:6" ht="15" customHeight="1" x14ac:dyDescent="0.25">
      <c r="B212" s="429">
        <v>2028</v>
      </c>
      <c r="C212" s="442" t="s">
        <v>342</v>
      </c>
      <c r="D212" s="399"/>
      <c r="E212" s="429" t="s">
        <v>328</v>
      </c>
      <c r="F212" s="430" t="s">
        <v>348</v>
      </c>
    </row>
    <row r="213" spans="2:6" s="19" customFormat="1" ht="15" customHeight="1" x14ac:dyDescent="0.25">
      <c r="B213" s="512">
        <v>2022</v>
      </c>
      <c r="C213" s="444" t="s">
        <v>349</v>
      </c>
      <c r="D213" s="513">
        <v>3.5597503422040169E-2</v>
      </c>
      <c r="E213" s="431" t="s">
        <v>350</v>
      </c>
      <c r="F213" s="431" t="s">
        <v>351</v>
      </c>
    </row>
    <row r="214" spans="2:6" ht="15" customHeight="1" x14ac:dyDescent="0.25">
      <c r="B214" s="429">
        <v>2023</v>
      </c>
      <c r="C214" s="442" t="s">
        <v>349</v>
      </c>
      <c r="D214" s="448">
        <v>2.4565872435996693E-2</v>
      </c>
      <c r="E214" s="430" t="s">
        <v>352</v>
      </c>
      <c r="F214" s="430" t="s">
        <v>353</v>
      </c>
    </row>
    <row r="215" spans="2:6" ht="15" customHeight="1" x14ac:dyDescent="0.25">
      <c r="B215" s="429">
        <v>2024</v>
      </c>
      <c r="C215" s="442" t="s">
        <v>349</v>
      </c>
      <c r="D215" s="448">
        <v>2.4046283642270481E-2</v>
      </c>
      <c r="E215" s="430" t="s">
        <v>352</v>
      </c>
      <c r="F215" s="430" t="s">
        <v>354</v>
      </c>
    </row>
    <row r="216" spans="2:6" ht="15" customHeight="1" x14ac:dyDescent="0.25">
      <c r="B216" s="429">
        <v>2025</v>
      </c>
      <c r="C216" s="442" t="s">
        <v>349</v>
      </c>
      <c r="D216" s="399"/>
      <c r="E216" s="430" t="s">
        <v>352</v>
      </c>
      <c r="F216" s="430" t="s">
        <v>355</v>
      </c>
    </row>
    <row r="217" spans="2:6" ht="15" customHeight="1" x14ac:dyDescent="0.25">
      <c r="B217" s="429">
        <v>2026</v>
      </c>
      <c r="C217" s="442" t="s">
        <v>349</v>
      </c>
      <c r="D217" s="399"/>
      <c r="E217" s="430" t="s">
        <v>352</v>
      </c>
      <c r="F217" s="430" t="s">
        <v>356</v>
      </c>
    </row>
    <row r="218" spans="2:6" ht="15" customHeight="1" x14ac:dyDescent="0.25">
      <c r="B218" s="429">
        <v>2027</v>
      </c>
      <c r="C218" s="442" t="s">
        <v>349</v>
      </c>
      <c r="D218" s="399"/>
      <c r="E218" s="430" t="s">
        <v>352</v>
      </c>
      <c r="F218" s="430" t="s">
        <v>357</v>
      </c>
    </row>
    <row r="219" spans="2:6" ht="15" customHeight="1" x14ac:dyDescent="0.25">
      <c r="B219" s="429">
        <v>2028</v>
      </c>
      <c r="C219" s="442" t="s">
        <v>349</v>
      </c>
      <c r="D219" s="399"/>
      <c r="E219" s="430" t="s">
        <v>352</v>
      </c>
      <c r="F219" s="430" t="s">
        <v>358</v>
      </c>
    </row>
    <row r="220" spans="2:6" s="19" customFormat="1" ht="15" customHeight="1" x14ac:dyDescent="0.25">
      <c r="B220" s="512">
        <v>2022</v>
      </c>
      <c r="C220" s="444" t="s">
        <v>359</v>
      </c>
      <c r="D220" s="513">
        <v>0.11429481729489449</v>
      </c>
      <c r="E220" s="431" t="s">
        <v>350</v>
      </c>
      <c r="F220" s="431" t="s">
        <v>360</v>
      </c>
    </row>
    <row r="221" spans="2:6" ht="15" customHeight="1" x14ac:dyDescent="0.25">
      <c r="B221" s="429">
        <v>2023</v>
      </c>
      <c r="C221" s="442" t="s">
        <v>359</v>
      </c>
      <c r="D221" s="448">
        <v>0.11553876165695967</v>
      </c>
      <c r="E221" s="430" t="s">
        <v>352</v>
      </c>
      <c r="F221" s="430" t="s">
        <v>361</v>
      </c>
    </row>
    <row r="222" spans="2:6" ht="15" customHeight="1" x14ac:dyDescent="0.25">
      <c r="B222" s="429">
        <v>2024</v>
      </c>
      <c r="C222" s="442" t="s">
        <v>359</v>
      </c>
      <c r="D222" s="437">
        <v>8.7307972299789746E-2</v>
      </c>
      <c r="E222" s="430" t="s">
        <v>352</v>
      </c>
      <c r="F222" s="430" t="s">
        <v>362</v>
      </c>
    </row>
    <row r="223" spans="2:6" ht="15" customHeight="1" x14ac:dyDescent="0.25">
      <c r="B223" s="429">
        <v>2025</v>
      </c>
      <c r="C223" s="442" t="s">
        <v>359</v>
      </c>
      <c r="D223" s="399"/>
      <c r="E223" s="430" t="s">
        <v>352</v>
      </c>
      <c r="F223" s="430" t="s">
        <v>363</v>
      </c>
    </row>
    <row r="224" spans="2:6" ht="15" customHeight="1" x14ac:dyDescent="0.25">
      <c r="B224" s="429">
        <v>2026</v>
      </c>
      <c r="C224" s="442" t="s">
        <v>359</v>
      </c>
      <c r="D224" s="399"/>
      <c r="E224" s="430" t="s">
        <v>352</v>
      </c>
      <c r="F224" s="430" t="s">
        <v>364</v>
      </c>
    </row>
    <row r="225" spans="2:6" ht="15" customHeight="1" x14ac:dyDescent="0.25">
      <c r="B225" s="429">
        <v>2027</v>
      </c>
      <c r="C225" s="442" t="s">
        <v>359</v>
      </c>
      <c r="D225" s="399"/>
      <c r="E225" s="430" t="s">
        <v>352</v>
      </c>
      <c r="F225" s="430" t="s">
        <v>365</v>
      </c>
    </row>
    <row r="226" spans="2:6" ht="15" customHeight="1" x14ac:dyDescent="0.25">
      <c r="B226" s="429">
        <v>2028</v>
      </c>
      <c r="C226" s="442" t="s">
        <v>359</v>
      </c>
      <c r="D226" s="399"/>
      <c r="E226" s="430" t="s">
        <v>352</v>
      </c>
      <c r="F226" s="430" t="s">
        <v>366</v>
      </c>
    </row>
    <row r="227" spans="2:6" ht="15" customHeight="1" x14ac:dyDescent="0.25">
      <c r="B227" s="429">
        <v>2022</v>
      </c>
      <c r="C227" s="442" t="s">
        <v>367</v>
      </c>
      <c r="D227" s="448">
        <v>0.13979712396265453</v>
      </c>
      <c r="E227" s="430" t="s">
        <v>352</v>
      </c>
      <c r="F227" s="430" t="s">
        <v>368</v>
      </c>
    </row>
    <row r="228" spans="2:6" ht="15" customHeight="1" x14ac:dyDescent="0.25">
      <c r="B228" s="429">
        <v>2023</v>
      </c>
      <c r="C228" s="442" t="s">
        <v>367</v>
      </c>
      <c r="D228" s="448">
        <v>9.2280196422255711E-2</v>
      </c>
      <c r="E228" s="430" t="s">
        <v>352</v>
      </c>
      <c r="F228" s="430" t="s">
        <v>369</v>
      </c>
    </row>
    <row r="229" spans="2:6" ht="15" customHeight="1" x14ac:dyDescent="0.25">
      <c r="B229" s="429">
        <v>2024</v>
      </c>
      <c r="C229" s="442" t="s">
        <v>367</v>
      </c>
      <c r="D229" s="437">
        <v>5.2230073120572353E-2</v>
      </c>
      <c r="E229" s="430" t="s">
        <v>352</v>
      </c>
      <c r="F229" s="430" t="s">
        <v>370</v>
      </c>
    </row>
    <row r="230" spans="2:6" ht="15" customHeight="1" x14ac:dyDescent="0.25">
      <c r="B230" s="429">
        <v>2025</v>
      </c>
      <c r="C230" s="442" t="s">
        <v>367</v>
      </c>
      <c r="D230" s="399"/>
      <c r="E230" s="430" t="s">
        <v>352</v>
      </c>
      <c r="F230" s="430" t="s">
        <v>371</v>
      </c>
    </row>
    <row r="231" spans="2:6" ht="15" customHeight="1" x14ac:dyDescent="0.25">
      <c r="B231" s="429">
        <v>2026</v>
      </c>
      <c r="C231" s="442" t="s">
        <v>367</v>
      </c>
      <c r="D231" s="399"/>
      <c r="E231" s="430" t="s">
        <v>352</v>
      </c>
      <c r="F231" s="430" t="s">
        <v>372</v>
      </c>
    </row>
    <row r="232" spans="2:6" ht="15" customHeight="1" x14ac:dyDescent="0.25">
      <c r="B232" s="429">
        <v>2027</v>
      </c>
      <c r="C232" s="442" t="s">
        <v>367</v>
      </c>
      <c r="D232" s="399"/>
      <c r="E232" s="430" t="s">
        <v>352</v>
      </c>
      <c r="F232" s="430" t="s">
        <v>373</v>
      </c>
    </row>
    <row r="233" spans="2:6" ht="15" customHeight="1" x14ac:dyDescent="0.25">
      <c r="B233" s="429">
        <v>2028</v>
      </c>
      <c r="C233" s="442" t="s">
        <v>367</v>
      </c>
      <c r="D233" s="399"/>
      <c r="E233" s="430" t="s">
        <v>352</v>
      </c>
      <c r="F233" s="430" t="s">
        <v>374</v>
      </c>
    </row>
    <row r="234" spans="2:6" ht="15" customHeight="1" x14ac:dyDescent="0.25">
      <c r="B234" s="429">
        <v>2022</v>
      </c>
      <c r="C234" s="442" t="s">
        <v>375</v>
      </c>
      <c r="D234" s="437">
        <v>0.10637694721086439</v>
      </c>
      <c r="E234" s="430" t="s">
        <v>352</v>
      </c>
      <c r="F234" s="430" t="s">
        <v>351</v>
      </c>
    </row>
    <row r="235" spans="2:6" ht="15" customHeight="1" x14ac:dyDescent="0.25">
      <c r="B235" s="429">
        <v>2023</v>
      </c>
      <c r="C235" s="442" t="s">
        <v>375</v>
      </c>
      <c r="D235" s="437">
        <v>8.8439611677198327E-2</v>
      </c>
      <c r="E235" s="430" t="s">
        <v>352</v>
      </c>
      <c r="F235" s="430" t="s">
        <v>353</v>
      </c>
    </row>
    <row r="236" spans="2:6" ht="15" customHeight="1" x14ac:dyDescent="0.25">
      <c r="B236" s="429">
        <v>2024</v>
      </c>
      <c r="C236" s="442" t="s">
        <v>375</v>
      </c>
      <c r="D236" s="437">
        <v>9.018525888774255E-2</v>
      </c>
      <c r="E236" s="430" t="s">
        <v>352</v>
      </c>
      <c r="F236" s="430" t="s">
        <v>354</v>
      </c>
    </row>
    <row r="237" spans="2:6" ht="15" customHeight="1" x14ac:dyDescent="0.25">
      <c r="B237" s="429">
        <v>2025</v>
      </c>
      <c r="C237" s="442" t="s">
        <v>375</v>
      </c>
      <c r="D237" s="399"/>
      <c r="E237" s="430" t="s">
        <v>352</v>
      </c>
      <c r="F237" s="430" t="s">
        <v>355</v>
      </c>
    </row>
    <row r="238" spans="2:6" ht="15" customHeight="1" x14ac:dyDescent="0.25">
      <c r="B238" s="429">
        <v>2026</v>
      </c>
      <c r="C238" s="442" t="s">
        <v>375</v>
      </c>
      <c r="D238" s="399"/>
      <c r="E238" s="430" t="s">
        <v>352</v>
      </c>
      <c r="F238" s="430" t="s">
        <v>356</v>
      </c>
    </row>
    <row r="239" spans="2:6" ht="15" customHeight="1" x14ac:dyDescent="0.25">
      <c r="B239" s="429">
        <v>2027</v>
      </c>
      <c r="C239" s="442" t="s">
        <v>375</v>
      </c>
      <c r="D239" s="399"/>
      <c r="E239" s="430" t="s">
        <v>352</v>
      </c>
      <c r="F239" s="430" t="s">
        <v>357</v>
      </c>
    </row>
    <row r="240" spans="2:6" ht="15" customHeight="1" x14ac:dyDescent="0.25">
      <c r="B240" s="429">
        <v>2028</v>
      </c>
      <c r="C240" s="442" t="s">
        <v>375</v>
      </c>
      <c r="D240" s="399"/>
      <c r="E240" s="430" t="s">
        <v>352</v>
      </c>
      <c r="F240" s="430" t="s">
        <v>358</v>
      </c>
    </row>
    <row r="241" spans="2:6" ht="15" customHeight="1" x14ac:dyDescent="0.25">
      <c r="C241" s="442" t="s">
        <v>376</v>
      </c>
      <c r="D241" s="449">
        <v>0</v>
      </c>
      <c r="E241" s="430" t="s">
        <v>352</v>
      </c>
      <c r="F241" s="430" t="s">
        <v>339</v>
      </c>
    </row>
    <row r="242" spans="2:6" ht="15" customHeight="1" x14ac:dyDescent="0.25">
      <c r="B242" s="429">
        <v>2022</v>
      </c>
      <c r="C242" s="442" t="s">
        <v>377</v>
      </c>
      <c r="D242" s="448">
        <v>8.2569295647856603E-2</v>
      </c>
      <c r="E242" s="430" t="s">
        <v>352</v>
      </c>
      <c r="F242" s="430" t="s">
        <v>378</v>
      </c>
    </row>
    <row r="243" spans="2:6" ht="15" customHeight="1" x14ac:dyDescent="0.25">
      <c r="B243" s="429">
        <v>2023</v>
      </c>
      <c r="C243" s="442" t="s">
        <v>377</v>
      </c>
      <c r="D243" s="448">
        <v>5.937865974471937E-2</v>
      </c>
      <c r="E243" s="430" t="s">
        <v>352</v>
      </c>
      <c r="F243" s="430" t="s">
        <v>379</v>
      </c>
    </row>
    <row r="244" spans="2:6" ht="15" customHeight="1" x14ac:dyDescent="0.25">
      <c r="B244" s="429">
        <v>2024</v>
      </c>
      <c r="C244" s="442" t="s">
        <v>377</v>
      </c>
      <c r="D244" s="437">
        <v>5.6482525113800496E-2</v>
      </c>
      <c r="E244" s="430" t="s">
        <v>352</v>
      </c>
      <c r="F244" s="430" t="s">
        <v>380</v>
      </c>
    </row>
    <row r="245" spans="2:6" ht="15" customHeight="1" x14ac:dyDescent="0.25">
      <c r="B245" s="429">
        <v>2025</v>
      </c>
      <c r="C245" s="442" t="s">
        <v>377</v>
      </c>
      <c r="D245" s="448"/>
      <c r="E245" s="430" t="s">
        <v>352</v>
      </c>
      <c r="F245" s="430" t="s">
        <v>381</v>
      </c>
    </row>
    <row r="246" spans="2:6" ht="15" customHeight="1" x14ac:dyDescent="0.25">
      <c r="B246" s="429">
        <v>2026</v>
      </c>
      <c r="C246" s="442" t="s">
        <v>377</v>
      </c>
      <c r="D246" s="399"/>
      <c r="E246" s="430" t="s">
        <v>352</v>
      </c>
      <c r="F246" s="430" t="s">
        <v>382</v>
      </c>
    </row>
    <row r="247" spans="2:6" ht="15" customHeight="1" x14ac:dyDescent="0.25">
      <c r="B247" s="429">
        <v>2027</v>
      </c>
      <c r="C247" s="442" t="s">
        <v>377</v>
      </c>
      <c r="D247" s="399"/>
      <c r="E247" s="430" t="s">
        <v>352</v>
      </c>
      <c r="F247" s="430" t="s">
        <v>383</v>
      </c>
    </row>
    <row r="248" spans="2:6" ht="15" customHeight="1" x14ac:dyDescent="0.25">
      <c r="B248" s="429">
        <v>2028</v>
      </c>
      <c r="C248" s="442" t="s">
        <v>377</v>
      </c>
      <c r="D248" s="399"/>
      <c r="E248" s="430" t="s">
        <v>352</v>
      </c>
      <c r="F248" s="430" t="s">
        <v>384</v>
      </c>
    </row>
    <row r="249" spans="2:6" ht="15" customHeight="1" x14ac:dyDescent="0.25">
      <c r="B249" s="429">
        <v>2022</v>
      </c>
      <c r="C249" s="442" t="s">
        <v>385</v>
      </c>
      <c r="D249" s="448">
        <v>1.8738000000000001E-2</v>
      </c>
      <c r="E249" s="430" t="s">
        <v>352</v>
      </c>
      <c r="F249" s="430" t="s">
        <v>386</v>
      </c>
    </row>
    <row r="250" spans="2:6" ht="15" customHeight="1" x14ac:dyDescent="0.25">
      <c r="B250" s="429">
        <v>2023</v>
      </c>
      <c r="C250" s="442" t="s">
        <v>385</v>
      </c>
      <c r="D250" s="448">
        <v>1.8710813959731544E-2</v>
      </c>
      <c r="E250" s="430" t="s">
        <v>352</v>
      </c>
      <c r="F250" s="430" t="s">
        <v>387</v>
      </c>
    </row>
    <row r="251" spans="2:6" ht="15" customHeight="1" x14ac:dyDescent="0.25">
      <c r="B251" s="429">
        <v>2024</v>
      </c>
      <c r="C251" s="442" t="s">
        <v>385</v>
      </c>
      <c r="D251" s="448">
        <v>1.8710000000000001E-2</v>
      </c>
      <c r="E251" s="430" t="s">
        <v>352</v>
      </c>
      <c r="F251" s="430" t="s">
        <v>388</v>
      </c>
    </row>
    <row r="252" spans="2:6" ht="15" customHeight="1" x14ac:dyDescent="0.25">
      <c r="B252" s="429">
        <v>2025</v>
      </c>
      <c r="C252" s="442" t="s">
        <v>385</v>
      </c>
      <c r="D252" s="437">
        <v>1.8710000000000001E-2</v>
      </c>
      <c r="E252" s="430" t="s">
        <v>352</v>
      </c>
      <c r="F252" s="430" t="s">
        <v>389</v>
      </c>
    </row>
    <row r="253" spans="2:6" ht="15" customHeight="1" x14ac:dyDescent="0.25">
      <c r="B253" s="429">
        <v>2026</v>
      </c>
      <c r="C253" s="442" t="s">
        <v>385</v>
      </c>
      <c r="D253" s="399"/>
      <c r="E253" s="430" t="s">
        <v>352</v>
      </c>
      <c r="F253" s="430" t="s">
        <v>390</v>
      </c>
    </row>
    <row r="254" spans="2:6" ht="15" customHeight="1" x14ac:dyDescent="0.25">
      <c r="B254" s="429">
        <v>2027</v>
      </c>
      <c r="C254" s="442" t="s">
        <v>385</v>
      </c>
      <c r="D254" s="399"/>
      <c r="E254" s="430" t="s">
        <v>352</v>
      </c>
      <c r="F254" s="430" t="s">
        <v>391</v>
      </c>
    </row>
    <row r="255" spans="2:6" ht="15" customHeight="1" x14ac:dyDescent="0.25">
      <c r="B255" s="429">
        <v>2028</v>
      </c>
      <c r="C255" s="442" t="s">
        <v>385</v>
      </c>
      <c r="D255" s="399"/>
      <c r="E255" s="430" t="s">
        <v>352</v>
      </c>
      <c r="F255" s="430" t="s">
        <v>392</v>
      </c>
    </row>
    <row r="256" spans="2:6" s="49" customFormat="1" ht="15" customHeight="1" x14ac:dyDescent="0.25">
      <c r="B256" s="512">
        <v>2022</v>
      </c>
      <c r="C256" s="444" t="s">
        <v>393</v>
      </c>
      <c r="D256" s="513">
        <v>0.15353000000000003</v>
      </c>
      <c r="E256" s="431" t="s">
        <v>394</v>
      </c>
      <c r="F256" s="431" t="s">
        <v>395</v>
      </c>
    </row>
    <row r="257" spans="2:6" ht="15" customHeight="1" x14ac:dyDescent="0.25">
      <c r="B257" s="429">
        <v>2023</v>
      </c>
      <c r="C257" s="442" t="s">
        <v>393</v>
      </c>
      <c r="D257" s="448">
        <v>0.1859171395973154</v>
      </c>
      <c r="E257" s="430" t="s">
        <v>394</v>
      </c>
      <c r="F257" s="430" t="s">
        <v>396</v>
      </c>
    </row>
    <row r="258" spans="2:6" ht="15" customHeight="1" x14ac:dyDescent="0.25">
      <c r="B258" s="429">
        <v>2024</v>
      </c>
      <c r="C258" s="442" t="s">
        <v>393</v>
      </c>
      <c r="D258" s="448">
        <v>0.18592</v>
      </c>
      <c r="E258" s="430" t="s">
        <v>394</v>
      </c>
      <c r="F258" s="430" t="s">
        <v>397</v>
      </c>
    </row>
    <row r="259" spans="2:6" ht="15" customHeight="1" x14ac:dyDescent="0.25">
      <c r="B259" s="429">
        <v>2025</v>
      </c>
      <c r="C259" s="442" t="s">
        <v>393</v>
      </c>
      <c r="D259" s="437">
        <v>0.12786</v>
      </c>
      <c r="E259" s="430" t="s">
        <v>394</v>
      </c>
      <c r="F259" s="430" t="s">
        <v>398</v>
      </c>
    </row>
    <row r="260" spans="2:6" ht="15" customHeight="1" x14ac:dyDescent="0.25">
      <c r="B260" s="429">
        <v>2026</v>
      </c>
      <c r="C260" s="442" t="s">
        <v>393</v>
      </c>
      <c r="D260" s="399"/>
      <c r="E260" s="430" t="s">
        <v>394</v>
      </c>
      <c r="F260" s="430" t="s">
        <v>399</v>
      </c>
    </row>
    <row r="261" spans="2:6" ht="15" customHeight="1" x14ac:dyDescent="0.25">
      <c r="B261" s="429">
        <v>2027</v>
      </c>
      <c r="C261" s="442" t="s">
        <v>393</v>
      </c>
      <c r="D261" s="399"/>
      <c r="E261" s="430" t="s">
        <v>394</v>
      </c>
      <c r="F261" s="430" t="s">
        <v>400</v>
      </c>
    </row>
    <row r="262" spans="2:6" ht="15" customHeight="1" x14ac:dyDescent="0.25">
      <c r="B262" s="429">
        <v>2028</v>
      </c>
      <c r="C262" s="442" t="s">
        <v>393</v>
      </c>
      <c r="D262" s="399"/>
      <c r="E262" s="430" t="s">
        <v>394</v>
      </c>
      <c r="F262" s="430" t="s">
        <v>401</v>
      </c>
    </row>
    <row r="263" spans="2:6" ht="15" customHeight="1" x14ac:dyDescent="0.25">
      <c r="B263" s="498"/>
      <c r="C263" s="430" t="s">
        <v>402</v>
      </c>
      <c r="D263" s="450">
        <v>0</v>
      </c>
      <c r="E263" s="430" t="s">
        <v>352</v>
      </c>
      <c r="F263" s="430" t="s">
        <v>339</v>
      </c>
    </row>
    <row r="264" spans="2:6" ht="15" customHeight="1" x14ac:dyDescent="0.25">
      <c r="B264" s="498"/>
      <c r="C264" s="430" t="s">
        <v>173</v>
      </c>
      <c r="D264" s="450">
        <v>0</v>
      </c>
      <c r="E264" s="430" t="s">
        <v>403</v>
      </c>
      <c r="F264" s="430" t="s">
        <v>339</v>
      </c>
    </row>
    <row r="265" spans="2:6" ht="15" customHeight="1" x14ac:dyDescent="0.25">
      <c r="B265" s="429">
        <v>2022</v>
      </c>
      <c r="C265" s="431" t="s">
        <v>404</v>
      </c>
      <c r="D265" s="448">
        <f>segajääk_2022*0.0124</f>
        <v>7.8987999999999992E-3</v>
      </c>
      <c r="E265" s="429" t="s">
        <v>328</v>
      </c>
      <c r="F265" s="430" t="s">
        <v>405</v>
      </c>
    </row>
    <row r="266" spans="2:6" ht="15" customHeight="1" x14ac:dyDescent="0.25">
      <c r="B266" s="429">
        <v>2023</v>
      </c>
      <c r="C266" s="431" t="s">
        <v>404</v>
      </c>
      <c r="D266" s="448">
        <f>segajääk_2023*0.0124</f>
        <v>8.8682320000000002E-3</v>
      </c>
      <c r="E266" s="429" t="s">
        <v>328</v>
      </c>
      <c r="F266" s="430" t="s">
        <v>405</v>
      </c>
    </row>
    <row r="267" spans="2:6" ht="15" customHeight="1" x14ac:dyDescent="0.25">
      <c r="B267" s="429">
        <v>2024</v>
      </c>
      <c r="C267" s="431" t="s">
        <v>404</v>
      </c>
      <c r="D267" s="448">
        <f>segajääk_2024*0.0124</f>
        <v>8.8245839999999999E-3</v>
      </c>
      <c r="E267" s="429" t="s">
        <v>328</v>
      </c>
      <c r="F267" s="430" t="s">
        <v>405</v>
      </c>
    </row>
    <row r="268" spans="2:6" ht="15" customHeight="1" x14ac:dyDescent="0.25">
      <c r="B268" s="429">
        <v>2025</v>
      </c>
      <c r="C268" s="431" t="s">
        <v>404</v>
      </c>
      <c r="D268" s="448">
        <f>segajääk_2025*0.0124</f>
        <v>7.5883039999999988E-3</v>
      </c>
      <c r="E268" s="429" t="s">
        <v>328</v>
      </c>
      <c r="F268" s="430" t="s">
        <v>405</v>
      </c>
    </row>
    <row r="269" spans="2:6" ht="15" customHeight="1" x14ac:dyDescent="0.25">
      <c r="B269" s="429">
        <v>2026</v>
      </c>
      <c r="C269" s="431" t="s">
        <v>404</v>
      </c>
      <c r="D269" s="448">
        <f>segajääk_2026*0.0124</f>
        <v>0</v>
      </c>
      <c r="E269" s="429" t="s">
        <v>328</v>
      </c>
      <c r="F269" s="430" t="s">
        <v>405</v>
      </c>
    </row>
    <row r="270" spans="2:6" ht="15" customHeight="1" x14ac:dyDescent="0.25">
      <c r="B270" s="429">
        <v>2027</v>
      </c>
      <c r="C270" s="431" t="s">
        <v>404</v>
      </c>
      <c r="D270" s="448">
        <f>segajääk_2027*0.0124</f>
        <v>0</v>
      </c>
      <c r="E270" s="429" t="s">
        <v>328</v>
      </c>
      <c r="F270" s="430" t="s">
        <v>405</v>
      </c>
    </row>
    <row r="271" spans="2:6" ht="15" customHeight="1" x14ac:dyDescent="0.25">
      <c r="B271" s="429">
        <v>2028</v>
      </c>
      <c r="C271" s="431" t="s">
        <v>404</v>
      </c>
      <c r="D271" s="448">
        <f>segajääk_2028*0.0124</f>
        <v>0</v>
      </c>
      <c r="E271" s="429" t="s">
        <v>328</v>
      </c>
      <c r="F271" s="430" t="s">
        <v>405</v>
      </c>
    </row>
    <row r="272" spans="2:6" ht="15" customHeight="1" x14ac:dyDescent="0.25">
      <c r="B272" s="498"/>
      <c r="C272" s="442" t="s">
        <v>406</v>
      </c>
      <c r="D272" s="448">
        <v>0</v>
      </c>
      <c r="E272" s="429" t="s">
        <v>328</v>
      </c>
      <c r="F272" s="430" t="s">
        <v>339</v>
      </c>
    </row>
    <row r="273" spans="2:6" ht="15" customHeight="1" x14ac:dyDescent="0.25">
      <c r="B273" s="498"/>
      <c r="C273" s="442" t="s">
        <v>407</v>
      </c>
      <c r="D273" s="399">
        <v>0</v>
      </c>
      <c r="E273" s="430" t="s">
        <v>403</v>
      </c>
      <c r="F273" s="468" t="s">
        <v>408</v>
      </c>
    </row>
    <row r="274" spans="2:6" ht="15" customHeight="1" x14ac:dyDescent="0.25">
      <c r="D274" s="2"/>
    </row>
    <row r="275" spans="2:6" ht="15" customHeight="1" x14ac:dyDescent="0.25">
      <c r="D275" s="2"/>
    </row>
    <row r="276" spans="2:6" ht="15" customHeight="1" x14ac:dyDescent="0.25">
      <c r="B276" s="421" t="s">
        <v>409</v>
      </c>
      <c r="C276" s="422"/>
      <c r="D276" s="451"/>
      <c r="E276" s="452"/>
      <c r="F276" s="2"/>
    </row>
    <row r="277" spans="2:6" ht="15" customHeight="1" x14ac:dyDescent="0.25">
      <c r="B277" s="423" t="s">
        <v>244</v>
      </c>
      <c r="C277" s="423" t="s">
        <v>326</v>
      </c>
      <c r="D277" s="453" t="s">
        <v>246</v>
      </c>
      <c r="E277" s="425" t="s">
        <v>247</v>
      </c>
      <c r="F277" s="441" t="s">
        <v>248</v>
      </c>
    </row>
    <row r="278" spans="2:6" ht="15" customHeight="1" x14ac:dyDescent="0.25">
      <c r="B278" s="429">
        <v>2022</v>
      </c>
      <c r="C278" s="430" t="s">
        <v>410</v>
      </c>
      <c r="D278" s="454">
        <v>0.23108569800628181</v>
      </c>
      <c r="E278" s="430" t="s">
        <v>328</v>
      </c>
      <c r="F278" s="430" t="s">
        <v>329</v>
      </c>
    </row>
    <row r="279" spans="2:6" ht="15" customHeight="1" x14ac:dyDescent="0.25">
      <c r="B279" s="429">
        <v>2023</v>
      </c>
      <c r="C279" s="430" t="s">
        <v>410</v>
      </c>
      <c r="D279" s="454">
        <v>0.23222495830655096</v>
      </c>
      <c r="E279" s="430" t="s">
        <v>328</v>
      </c>
      <c r="F279" s="430" t="s">
        <v>330</v>
      </c>
    </row>
    <row r="280" spans="2:6" ht="15" customHeight="1" x14ac:dyDescent="0.25">
      <c r="B280" s="429">
        <v>2024</v>
      </c>
      <c r="C280" s="430" t="s">
        <v>410</v>
      </c>
      <c r="D280" s="454">
        <v>0.20855778494773294</v>
      </c>
      <c r="E280" s="430" t="s">
        <v>328</v>
      </c>
      <c r="F280" s="430" t="s">
        <v>331</v>
      </c>
    </row>
    <row r="281" spans="2:6" ht="15" customHeight="1" x14ac:dyDescent="0.25">
      <c r="B281" s="429">
        <v>2025</v>
      </c>
      <c r="C281" s="430" t="s">
        <v>410</v>
      </c>
      <c r="D281" s="454"/>
      <c r="E281" s="430" t="s">
        <v>328</v>
      </c>
      <c r="F281" s="430" t="s">
        <v>270</v>
      </c>
    </row>
    <row r="282" spans="2:6" ht="15" customHeight="1" x14ac:dyDescent="0.25">
      <c r="B282" s="429">
        <v>2026</v>
      </c>
      <c r="C282" s="430" t="s">
        <v>410</v>
      </c>
      <c r="D282" s="454"/>
      <c r="E282" s="430" t="s">
        <v>328</v>
      </c>
      <c r="F282" s="430" t="s">
        <v>271</v>
      </c>
    </row>
    <row r="283" spans="2:6" ht="15" customHeight="1" x14ac:dyDescent="0.25">
      <c r="B283" s="429">
        <v>2027</v>
      </c>
      <c r="C283" s="430" t="s">
        <v>410</v>
      </c>
      <c r="D283" s="454"/>
      <c r="E283" s="430" t="s">
        <v>328</v>
      </c>
      <c r="F283" s="430" t="s">
        <v>272</v>
      </c>
    </row>
    <row r="284" spans="2:6" ht="15" customHeight="1" x14ac:dyDescent="0.25">
      <c r="B284" s="429">
        <v>2028</v>
      </c>
      <c r="C284" s="430" t="s">
        <v>410</v>
      </c>
      <c r="D284" s="454"/>
      <c r="E284" s="430" t="s">
        <v>328</v>
      </c>
      <c r="F284" s="430" t="s">
        <v>273</v>
      </c>
    </row>
    <row r="285" spans="2:6" ht="15" customHeight="1" x14ac:dyDescent="0.25">
      <c r="B285" s="429">
        <v>2022</v>
      </c>
      <c r="C285" s="442" t="s">
        <v>411</v>
      </c>
      <c r="D285" s="437">
        <f>transport_kaubik_bensiin_km_2022/1.2</f>
        <v>0.19257141500523486</v>
      </c>
      <c r="E285" s="430" t="s">
        <v>412</v>
      </c>
      <c r="F285" s="430" t="s">
        <v>413</v>
      </c>
    </row>
    <row r="286" spans="2:6" ht="15" customHeight="1" x14ac:dyDescent="0.25">
      <c r="B286" s="429">
        <v>2023</v>
      </c>
      <c r="C286" s="442" t="s">
        <v>411</v>
      </c>
      <c r="D286" s="437">
        <f>transport_kaubik_bensiin_km_2023/1.2</f>
        <v>0.19352079858879248</v>
      </c>
      <c r="E286" s="430" t="s">
        <v>412</v>
      </c>
      <c r="F286" s="430" t="s">
        <v>413</v>
      </c>
    </row>
    <row r="287" spans="2:6" ht="15" customHeight="1" x14ac:dyDescent="0.25">
      <c r="B287" s="429">
        <v>2024</v>
      </c>
      <c r="C287" s="442" t="s">
        <v>411</v>
      </c>
      <c r="D287" s="437">
        <f>transport_kaubik_bensiin_km_2024/1.2</f>
        <v>0.17379815412311078</v>
      </c>
      <c r="E287" s="430" t="s">
        <v>412</v>
      </c>
      <c r="F287" s="430" t="s">
        <v>413</v>
      </c>
    </row>
    <row r="288" spans="2:6" ht="15" customHeight="1" x14ac:dyDescent="0.25">
      <c r="B288" s="429">
        <v>2025</v>
      </c>
      <c r="C288" s="442" t="s">
        <v>411</v>
      </c>
      <c r="D288" s="437">
        <f>transport_kaubik_bensiin_km_2025/1.2</f>
        <v>0</v>
      </c>
      <c r="E288" s="430" t="s">
        <v>412</v>
      </c>
      <c r="F288" s="430" t="s">
        <v>413</v>
      </c>
    </row>
    <row r="289" spans="2:6" ht="15" customHeight="1" x14ac:dyDescent="0.25">
      <c r="B289" s="429">
        <v>2026</v>
      </c>
      <c r="C289" s="442" t="s">
        <v>411</v>
      </c>
      <c r="D289" s="437">
        <f>transport_kaubik_bensiin_km_2026/1.2</f>
        <v>0</v>
      </c>
      <c r="E289" s="430" t="s">
        <v>412</v>
      </c>
      <c r="F289" s="430" t="s">
        <v>413</v>
      </c>
    </row>
    <row r="290" spans="2:6" ht="15" customHeight="1" x14ac:dyDescent="0.25">
      <c r="B290" s="429">
        <v>2027</v>
      </c>
      <c r="C290" s="442" t="s">
        <v>411</v>
      </c>
      <c r="D290" s="437">
        <f>transport_kaubik_bensiin_km_2027/1.2</f>
        <v>0</v>
      </c>
      <c r="E290" s="430" t="s">
        <v>412</v>
      </c>
      <c r="F290" s="430" t="s">
        <v>413</v>
      </c>
    </row>
    <row r="291" spans="2:6" ht="15" customHeight="1" x14ac:dyDescent="0.25">
      <c r="B291" s="429">
        <v>2028</v>
      </c>
      <c r="C291" s="442" t="s">
        <v>411</v>
      </c>
      <c r="D291" s="437">
        <f>transport_kaubik_bensiin_km_2028/1.2</f>
        <v>0</v>
      </c>
      <c r="E291" s="430" t="s">
        <v>412</v>
      </c>
      <c r="F291" s="430" t="s">
        <v>413</v>
      </c>
    </row>
    <row r="292" spans="2:6" ht="15" customHeight="1" x14ac:dyDescent="0.25">
      <c r="B292" s="429">
        <v>2022</v>
      </c>
      <c r="C292" s="442" t="s">
        <v>414</v>
      </c>
      <c r="D292" s="437">
        <v>0.21482302218350141</v>
      </c>
      <c r="E292" s="430" t="s">
        <v>328</v>
      </c>
      <c r="F292" s="430" t="s">
        <v>329</v>
      </c>
    </row>
    <row r="293" spans="2:6" ht="15" customHeight="1" x14ac:dyDescent="0.25">
      <c r="B293" s="429">
        <v>2023</v>
      </c>
      <c r="C293" s="442" t="s">
        <v>414</v>
      </c>
      <c r="D293" s="437">
        <v>0.23138392733813293</v>
      </c>
      <c r="E293" s="430" t="s">
        <v>328</v>
      </c>
      <c r="F293" s="430" t="s">
        <v>330</v>
      </c>
    </row>
    <row r="294" spans="2:6" ht="15" customHeight="1" x14ac:dyDescent="0.25">
      <c r="B294" s="429">
        <v>2024</v>
      </c>
      <c r="C294" s="442" t="s">
        <v>414</v>
      </c>
      <c r="D294" s="437">
        <v>0.21970497654363919</v>
      </c>
      <c r="E294" s="430" t="s">
        <v>328</v>
      </c>
      <c r="F294" s="430" t="s">
        <v>331</v>
      </c>
    </row>
    <row r="295" spans="2:6" ht="15" customHeight="1" x14ac:dyDescent="0.25">
      <c r="B295" s="429">
        <v>2025</v>
      </c>
      <c r="C295" s="442" t="s">
        <v>414</v>
      </c>
      <c r="D295" s="437"/>
      <c r="E295" s="430" t="s">
        <v>328</v>
      </c>
      <c r="F295" s="430" t="s">
        <v>270</v>
      </c>
    </row>
    <row r="296" spans="2:6" ht="15" customHeight="1" x14ac:dyDescent="0.25">
      <c r="B296" s="429">
        <v>2026</v>
      </c>
      <c r="C296" s="442" t="s">
        <v>414</v>
      </c>
      <c r="D296" s="437"/>
      <c r="E296" s="430" t="s">
        <v>328</v>
      </c>
      <c r="F296" s="430" t="s">
        <v>271</v>
      </c>
    </row>
    <row r="297" spans="2:6" ht="15" customHeight="1" x14ac:dyDescent="0.25">
      <c r="B297" s="429">
        <v>2027</v>
      </c>
      <c r="C297" s="442" t="s">
        <v>414</v>
      </c>
      <c r="D297" s="437"/>
      <c r="E297" s="430" t="s">
        <v>328</v>
      </c>
      <c r="F297" s="430" t="s">
        <v>272</v>
      </c>
    </row>
    <row r="298" spans="2:6" ht="15" customHeight="1" x14ac:dyDescent="0.25">
      <c r="B298" s="429">
        <v>2028</v>
      </c>
      <c r="C298" s="442" t="s">
        <v>414</v>
      </c>
      <c r="D298" s="437"/>
      <c r="E298" s="430" t="s">
        <v>328</v>
      </c>
      <c r="F298" s="430" t="s">
        <v>273</v>
      </c>
    </row>
    <row r="299" spans="2:6" ht="15" customHeight="1" x14ac:dyDescent="0.25">
      <c r="B299" s="429">
        <v>2022</v>
      </c>
      <c r="C299" s="442" t="s">
        <v>415</v>
      </c>
      <c r="D299" s="437">
        <f>transport_kaubik_diisel_km_2022/1.2</f>
        <v>0.17901918515291784</v>
      </c>
      <c r="E299" s="430" t="s">
        <v>412</v>
      </c>
      <c r="F299" s="430" t="s">
        <v>413</v>
      </c>
    </row>
    <row r="300" spans="2:6" ht="15" customHeight="1" x14ac:dyDescent="0.25">
      <c r="B300" s="429">
        <v>2023</v>
      </c>
      <c r="C300" s="442" t="s">
        <v>415</v>
      </c>
      <c r="D300" s="437">
        <f>transport_kaubik_diisel_km_2023/1.2</f>
        <v>0.19281993944844411</v>
      </c>
      <c r="E300" s="430" t="s">
        <v>412</v>
      </c>
      <c r="F300" s="430" t="s">
        <v>413</v>
      </c>
    </row>
    <row r="301" spans="2:6" ht="15" customHeight="1" x14ac:dyDescent="0.25">
      <c r="B301" s="429">
        <v>2024</v>
      </c>
      <c r="C301" s="442" t="s">
        <v>415</v>
      </c>
      <c r="D301" s="437">
        <f>transport_kaubik_diisel_km_2024/1.2</f>
        <v>0.18308748045303266</v>
      </c>
      <c r="E301" s="430" t="s">
        <v>412</v>
      </c>
      <c r="F301" s="430" t="s">
        <v>413</v>
      </c>
    </row>
    <row r="302" spans="2:6" ht="15" customHeight="1" x14ac:dyDescent="0.25">
      <c r="B302" s="429">
        <v>2025</v>
      </c>
      <c r="C302" s="442" t="s">
        <v>415</v>
      </c>
      <c r="D302" s="437">
        <f>transport_kaubik_diisel_km_2025/1.2</f>
        <v>0</v>
      </c>
      <c r="E302" s="430" t="s">
        <v>412</v>
      </c>
      <c r="F302" s="430" t="s">
        <v>413</v>
      </c>
    </row>
    <row r="303" spans="2:6" ht="15" customHeight="1" x14ac:dyDescent="0.25">
      <c r="B303" s="429">
        <v>2026</v>
      </c>
      <c r="C303" s="442" t="s">
        <v>415</v>
      </c>
      <c r="D303" s="437">
        <f>transport_kaubik_diisel_km_2026/1.2</f>
        <v>0</v>
      </c>
      <c r="E303" s="430" t="s">
        <v>412</v>
      </c>
      <c r="F303" s="430" t="s">
        <v>413</v>
      </c>
    </row>
    <row r="304" spans="2:6" ht="15" customHeight="1" x14ac:dyDescent="0.25">
      <c r="B304" s="429">
        <v>2027</v>
      </c>
      <c r="C304" s="442" t="s">
        <v>415</v>
      </c>
      <c r="D304" s="437">
        <f>transport_kaubik_diisel_km_2027/1.2</f>
        <v>0</v>
      </c>
      <c r="E304" s="430" t="s">
        <v>412</v>
      </c>
      <c r="F304" s="430" t="s">
        <v>413</v>
      </c>
    </row>
    <row r="305" spans="2:6" ht="15" customHeight="1" x14ac:dyDescent="0.25">
      <c r="B305" s="429">
        <v>2028</v>
      </c>
      <c r="C305" s="442" t="s">
        <v>415</v>
      </c>
      <c r="D305" s="437">
        <f>transport_kaubik_diisel_km_2028/1.2</f>
        <v>0</v>
      </c>
      <c r="E305" s="430" t="s">
        <v>412</v>
      </c>
      <c r="F305" s="430" t="s">
        <v>413</v>
      </c>
    </row>
    <row r="306" spans="2:6" ht="15" customHeight="1" x14ac:dyDescent="0.25">
      <c r="C306" s="442" t="s">
        <v>416</v>
      </c>
      <c r="D306" s="437">
        <v>0</v>
      </c>
      <c r="E306" s="430" t="s">
        <v>328</v>
      </c>
      <c r="F306" s="430" t="s">
        <v>339</v>
      </c>
    </row>
    <row r="307" spans="2:6" ht="15" customHeight="1" x14ac:dyDescent="0.25">
      <c r="C307" s="442" t="s">
        <v>417</v>
      </c>
      <c r="D307" s="437">
        <v>0</v>
      </c>
      <c r="E307" s="430" t="s">
        <v>412</v>
      </c>
      <c r="F307" s="430" t="s">
        <v>339</v>
      </c>
    </row>
    <row r="308" spans="2:6" ht="15" customHeight="1" x14ac:dyDescent="0.25">
      <c r="B308" s="429">
        <v>2022</v>
      </c>
      <c r="C308" s="442" t="s">
        <v>418</v>
      </c>
      <c r="D308" s="437">
        <f>segajääk_2022*0.25</f>
        <v>0.15925</v>
      </c>
      <c r="E308" s="430" t="s">
        <v>328</v>
      </c>
      <c r="F308" s="430" t="s">
        <v>419</v>
      </c>
    </row>
    <row r="309" spans="2:6" ht="15" customHeight="1" x14ac:dyDescent="0.25">
      <c r="B309" s="429">
        <v>2023</v>
      </c>
      <c r="C309" s="442" t="s">
        <v>418</v>
      </c>
      <c r="D309" s="437">
        <f>segajääk_2023*0.25</f>
        <v>0.17879500000000001</v>
      </c>
      <c r="E309" s="430" t="s">
        <v>328</v>
      </c>
      <c r="F309" s="430" t="s">
        <v>419</v>
      </c>
    </row>
    <row r="310" spans="2:6" ht="15" customHeight="1" x14ac:dyDescent="0.25">
      <c r="B310" s="429">
        <v>2024</v>
      </c>
      <c r="C310" s="442" t="s">
        <v>418</v>
      </c>
      <c r="D310" s="437">
        <f>segajääk_2024*0.25</f>
        <v>0.17791499999999999</v>
      </c>
      <c r="E310" s="430" t="s">
        <v>328</v>
      </c>
      <c r="F310" s="430" t="s">
        <v>419</v>
      </c>
    </row>
    <row r="311" spans="2:6" ht="15" customHeight="1" x14ac:dyDescent="0.25">
      <c r="B311" s="429">
        <v>2025</v>
      </c>
      <c r="C311" s="442" t="s">
        <v>418</v>
      </c>
      <c r="D311" s="437">
        <f>segajääk_2025*0.25</f>
        <v>0.15298999999999999</v>
      </c>
      <c r="E311" s="430" t="s">
        <v>328</v>
      </c>
      <c r="F311" s="430" t="s">
        <v>419</v>
      </c>
    </row>
    <row r="312" spans="2:6" ht="15" customHeight="1" x14ac:dyDescent="0.25">
      <c r="B312" s="429">
        <v>2026</v>
      </c>
      <c r="C312" s="442" t="s">
        <v>418</v>
      </c>
      <c r="D312" s="437">
        <f>segajääk_2026*0.25</f>
        <v>0</v>
      </c>
      <c r="E312" s="430" t="s">
        <v>328</v>
      </c>
      <c r="F312" s="430" t="s">
        <v>419</v>
      </c>
    </row>
    <row r="313" spans="2:6" ht="15" customHeight="1" x14ac:dyDescent="0.25">
      <c r="B313" s="429">
        <v>2027</v>
      </c>
      <c r="C313" s="442" t="s">
        <v>418</v>
      </c>
      <c r="D313" s="437">
        <f>segajääk_2027*0.25</f>
        <v>0</v>
      </c>
      <c r="E313" s="430" t="s">
        <v>328</v>
      </c>
      <c r="F313" s="430" t="s">
        <v>419</v>
      </c>
    </row>
    <row r="314" spans="2:6" ht="15" customHeight="1" x14ac:dyDescent="0.25">
      <c r="B314" s="429">
        <v>2028</v>
      </c>
      <c r="C314" s="442" t="s">
        <v>418</v>
      </c>
      <c r="D314" s="437">
        <f>segajääk_2028*0.25</f>
        <v>0</v>
      </c>
      <c r="E314" s="430" t="s">
        <v>328</v>
      </c>
      <c r="F314" s="430" t="s">
        <v>419</v>
      </c>
    </row>
    <row r="315" spans="2:6" ht="15" customHeight="1" x14ac:dyDescent="0.25">
      <c r="B315" s="429">
        <v>2022</v>
      </c>
      <c r="C315" s="442" t="s">
        <v>420</v>
      </c>
      <c r="D315" s="437">
        <f>transport_kaubik_tavaelekter_km_2022/1.2</f>
        <v>0.13270833333333334</v>
      </c>
      <c r="E315" s="430" t="s">
        <v>412</v>
      </c>
      <c r="F315" s="430" t="s">
        <v>421</v>
      </c>
    </row>
    <row r="316" spans="2:6" ht="15" customHeight="1" x14ac:dyDescent="0.25">
      <c r="B316" s="429">
        <v>2023</v>
      </c>
      <c r="C316" s="442" t="s">
        <v>420</v>
      </c>
      <c r="D316" s="437">
        <f>transport_kaubik_tavaelekter_km_2023/1.2</f>
        <v>0.14899583333333336</v>
      </c>
      <c r="E316" s="430" t="s">
        <v>412</v>
      </c>
      <c r="F316" s="430" t="s">
        <v>421</v>
      </c>
    </row>
    <row r="317" spans="2:6" ht="15" customHeight="1" x14ac:dyDescent="0.25">
      <c r="B317" s="429">
        <v>2024</v>
      </c>
      <c r="C317" s="442" t="s">
        <v>420</v>
      </c>
      <c r="D317" s="437">
        <f>transport_kaubik_tavaelekter_km_2024/1.2</f>
        <v>0.14826249999999999</v>
      </c>
      <c r="E317" s="430" t="s">
        <v>412</v>
      </c>
      <c r="F317" s="430" t="s">
        <v>421</v>
      </c>
    </row>
    <row r="318" spans="2:6" ht="15" customHeight="1" x14ac:dyDescent="0.25">
      <c r="B318" s="429">
        <v>2025</v>
      </c>
      <c r="C318" s="442" t="s">
        <v>420</v>
      </c>
      <c r="D318" s="437">
        <f>transport_kaubik_tavaelekter_km_2025/1.2</f>
        <v>0.12749166666666667</v>
      </c>
      <c r="E318" s="430" t="s">
        <v>412</v>
      </c>
      <c r="F318" s="430" t="s">
        <v>421</v>
      </c>
    </row>
    <row r="319" spans="2:6" ht="15" customHeight="1" x14ac:dyDescent="0.25">
      <c r="B319" s="429">
        <v>2026</v>
      </c>
      <c r="C319" s="442" t="s">
        <v>420</v>
      </c>
      <c r="D319" s="437">
        <f>transport_kaubik_tavaelekter_km_2026/1.2</f>
        <v>0</v>
      </c>
      <c r="E319" s="430" t="s">
        <v>412</v>
      </c>
      <c r="F319" s="430" t="s">
        <v>421</v>
      </c>
    </row>
    <row r="320" spans="2:6" ht="15" customHeight="1" x14ac:dyDescent="0.25">
      <c r="B320" s="429">
        <v>2027</v>
      </c>
      <c r="C320" s="442" t="s">
        <v>420</v>
      </c>
      <c r="D320" s="437">
        <f>transport_kaubik_tavaelekter_km_2027/1.2</f>
        <v>0</v>
      </c>
      <c r="E320" s="430" t="s">
        <v>412</v>
      </c>
      <c r="F320" s="430" t="s">
        <v>421</v>
      </c>
    </row>
    <row r="321" spans="2:6" ht="15" customHeight="1" x14ac:dyDescent="0.25">
      <c r="B321" s="429">
        <v>2028</v>
      </c>
      <c r="C321" s="442" t="s">
        <v>420</v>
      </c>
      <c r="D321" s="437">
        <f>transport_kaubik_tavaelekter_km_2028/1.2</f>
        <v>0</v>
      </c>
      <c r="E321" s="430" t="s">
        <v>412</v>
      </c>
      <c r="F321" s="430" t="s">
        <v>421</v>
      </c>
    </row>
    <row r="322" spans="2:6" ht="15" customHeight="1" x14ac:dyDescent="0.25">
      <c r="B322" s="429">
        <v>2022</v>
      </c>
      <c r="C322" s="430" t="s">
        <v>422</v>
      </c>
      <c r="D322" s="454">
        <v>0.66140608054688732</v>
      </c>
      <c r="E322" s="430" t="s">
        <v>328</v>
      </c>
      <c r="F322" s="430" t="s">
        <v>423</v>
      </c>
    </row>
    <row r="323" spans="2:6" ht="15" customHeight="1" x14ac:dyDescent="0.25">
      <c r="B323" s="429">
        <v>2023</v>
      </c>
      <c r="C323" s="430" t="s">
        <v>422</v>
      </c>
      <c r="D323" s="438">
        <v>0.66204894143478799</v>
      </c>
      <c r="E323" s="430" t="s">
        <v>328</v>
      </c>
      <c r="F323" s="430" t="s">
        <v>424</v>
      </c>
    </row>
    <row r="324" spans="2:6" ht="15" customHeight="1" x14ac:dyDescent="0.25">
      <c r="B324" s="429">
        <v>2024</v>
      </c>
      <c r="C324" s="430" t="s">
        <v>422</v>
      </c>
      <c r="D324" s="438">
        <v>0.66221142936953203</v>
      </c>
      <c r="E324" s="430" t="s">
        <v>328</v>
      </c>
      <c r="F324" s="430" t="s">
        <v>425</v>
      </c>
    </row>
    <row r="325" spans="2:6" ht="15" customHeight="1" x14ac:dyDescent="0.25">
      <c r="B325" s="429">
        <v>2025</v>
      </c>
      <c r="C325" s="430" t="s">
        <v>422</v>
      </c>
      <c r="D325" s="399"/>
      <c r="E325" s="430" t="s">
        <v>328</v>
      </c>
      <c r="F325" s="430" t="s">
        <v>426</v>
      </c>
    </row>
    <row r="326" spans="2:6" ht="15" customHeight="1" x14ac:dyDescent="0.25">
      <c r="B326" s="429">
        <v>2026</v>
      </c>
      <c r="C326" s="430" t="s">
        <v>422</v>
      </c>
      <c r="D326" s="399"/>
      <c r="E326" s="430" t="s">
        <v>328</v>
      </c>
      <c r="F326" s="430" t="s">
        <v>427</v>
      </c>
    </row>
    <row r="327" spans="2:6" ht="15" customHeight="1" x14ac:dyDescent="0.25">
      <c r="B327" s="429">
        <v>2027</v>
      </c>
      <c r="C327" s="430" t="s">
        <v>422</v>
      </c>
      <c r="D327" s="399"/>
      <c r="E327" s="430" t="s">
        <v>328</v>
      </c>
      <c r="F327" s="430" t="s">
        <v>428</v>
      </c>
    </row>
    <row r="328" spans="2:6" ht="15" customHeight="1" x14ac:dyDescent="0.25">
      <c r="B328" s="429">
        <v>2028</v>
      </c>
      <c r="C328" s="430" t="s">
        <v>422</v>
      </c>
      <c r="D328" s="399"/>
      <c r="E328" s="430" t="s">
        <v>328</v>
      </c>
      <c r="F328" s="430" t="s">
        <v>429</v>
      </c>
    </row>
    <row r="329" spans="2:6" ht="15" customHeight="1" x14ac:dyDescent="0.25">
      <c r="B329" s="429">
        <v>2022</v>
      </c>
      <c r="C329" s="430" t="s">
        <v>430</v>
      </c>
      <c r="D329" s="454">
        <v>0.22355237510272502</v>
      </c>
      <c r="E329" s="430" t="s">
        <v>328</v>
      </c>
      <c r="F329" s="430" t="s">
        <v>431</v>
      </c>
    </row>
    <row r="330" spans="2:6" ht="15" customHeight="1" x14ac:dyDescent="0.25">
      <c r="B330" s="429">
        <v>2023</v>
      </c>
      <c r="C330" s="430" t="s">
        <v>430</v>
      </c>
      <c r="D330" s="437">
        <v>0.23144069513543036</v>
      </c>
      <c r="E330" s="430" t="s">
        <v>328</v>
      </c>
      <c r="F330" s="430" t="s">
        <v>432</v>
      </c>
    </row>
    <row r="331" spans="2:6" ht="15" customHeight="1" x14ac:dyDescent="0.25">
      <c r="B331" s="429">
        <v>2024</v>
      </c>
      <c r="C331" s="430" t="s">
        <v>430</v>
      </c>
      <c r="D331" s="437">
        <v>0.21912226020229811</v>
      </c>
      <c r="E331" s="430" t="s">
        <v>328</v>
      </c>
      <c r="F331" s="430" t="s">
        <v>433</v>
      </c>
    </row>
    <row r="332" spans="2:6" ht="15" customHeight="1" x14ac:dyDescent="0.25">
      <c r="B332" s="429">
        <v>2025</v>
      </c>
      <c r="C332" s="430" t="s">
        <v>430</v>
      </c>
      <c r="D332" s="437"/>
      <c r="E332" s="430" t="s">
        <v>328</v>
      </c>
      <c r="F332" s="430" t="s">
        <v>434</v>
      </c>
    </row>
    <row r="333" spans="2:6" ht="15" customHeight="1" x14ac:dyDescent="0.25">
      <c r="B333" s="429">
        <v>2026</v>
      </c>
      <c r="C333" s="430" t="s">
        <v>430</v>
      </c>
      <c r="D333" s="437"/>
      <c r="E333" s="430" t="s">
        <v>328</v>
      </c>
      <c r="F333" s="430" t="s">
        <v>435</v>
      </c>
    </row>
    <row r="334" spans="2:6" ht="15" customHeight="1" x14ac:dyDescent="0.25">
      <c r="B334" s="429">
        <v>2027</v>
      </c>
      <c r="C334" s="430" t="s">
        <v>430</v>
      </c>
      <c r="D334" s="437"/>
      <c r="E334" s="430" t="s">
        <v>328</v>
      </c>
      <c r="F334" s="430" t="s">
        <v>436</v>
      </c>
    </row>
    <row r="335" spans="2:6" ht="15" customHeight="1" x14ac:dyDescent="0.25">
      <c r="B335" s="429">
        <v>2028</v>
      </c>
      <c r="C335" s="430" t="s">
        <v>430</v>
      </c>
      <c r="D335" s="437"/>
      <c r="E335" s="430" t="s">
        <v>328</v>
      </c>
      <c r="F335" s="430" t="s">
        <v>437</v>
      </c>
    </row>
    <row r="338" spans="2:6" ht="15" customHeight="1" x14ac:dyDescent="0.25">
      <c r="B338" s="421" t="s">
        <v>438</v>
      </c>
      <c r="C338" s="422"/>
      <c r="E338" s="2"/>
      <c r="F338" s="2"/>
    </row>
    <row r="339" spans="2:6" ht="15" customHeight="1" x14ac:dyDescent="0.25">
      <c r="B339" s="423" t="s">
        <v>439</v>
      </c>
      <c r="C339" s="424"/>
      <c r="D339" s="425" t="s">
        <v>246</v>
      </c>
      <c r="E339" s="425" t="s">
        <v>247</v>
      </c>
      <c r="F339" s="441" t="s">
        <v>248</v>
      </c>
    </row>
    <row r="340" spans="2:6" ht="15" customHeight="1" x14ac:dyDescent="0.25">
      <c r="B340" s="429">
        <v>2022</v>
      </c>
      <c r="C340" s="444" t="s">
        <v>440</v>
      </c>
      <c r="D340" s="438">
        <v>1.45</v>
      </c>
      <c r="E340" s="430" t="s">
        <v>441</v>
      </c>
      <c r="F340" s="430" t="s">
        <v>500</v>
      </c>
    </row>
    <row r="341" spans="2:6" ht="15" customHeight="1" x14ac:dyDescent="0.25">
      <c r="B341" s="429">
        <v>2023</v>
      </c>
      <c r="C341" s="444" t="s">
        <v>440</v>
      </c>
      <c r="D341" s="438">
        <v>0.81</v>
      </c>
      <c r="E341" s="430" t="s">
        <v>441</v>
      </c>
      <c r="F341" s="430" t="s">
        <v>499</v>
      </c>
    </row>
    <row r="342" spans="2:6" ht="15" customHeight="1" x14ac:dyDescent="0.25">
      <c r="B342" s="429">
        <v>2024</v>
      </c>
      <c r="C342" s="444" t="s">
        <v>440</v>
      </c>
      <c r="D342" s="438">
        <v>0.74</v>
      </c>
      <c r="E342" s="430" t="s">
        <v>441</v>
      </c>
      <c r="F342" s="430" t="s">
        <v>494</v>
      </c>
    </row>
    <row r="343" spans="2:6" ht="15" customHeight="1" x14ac:dyDescent="0.25">
      <c r="B343" s="429">
        <v>2025</v>
      </c>
      <c r="C343" s="444" t="s">
        <v>440</v>
      </c>
      <c r="D343" s="438">
        <v>0.73</v>
      </c>
      <c r="E343" s="430" t="s">
        <v>441</v>
      </c>
      <c r="F343" s="430" t="s">
        <v>495</v>
      </c>
    </row>
    <row r="344" spans="2:6" ht="15" customHeight="1" x14ac:dyDescent="0.25">
      <c r="B344" s="429">
        <v>2026</v>
      </c>
      <c r="C344" s="444" t="s">
        <v>440</v>
      </c>
      <c r="D344" s="438"/>
      <c r="E344" s="430" t="s">
        <v>441</v>
      </c>
      <c r="F344" s="430" t="s">
        <v>496</v>
      </c>
    </row>
    <row r="345" spans="2:6" ht="15" customHeight="1" x14ac:dyDescent="0.25">
      <c r="B345" s="429">
        <v>2027</v>
      </c>
      <c r="C345" s="444" t="s">
        <v>440</v>
      </c>
      <c r="D345" s="438"/>
      <c r="E345" s="430" t="s">
        <v>441</v>
      </c>
      <c r="F345" s="430" t="s">
        <v>497</v>
      </c>
    </row>
    <row r="346" spans="2:6" ht="15" customHeight="1" x14ac:dyDescent="0.25">
      <c r="B346" s="429">
        <v>2028</v>
      </c>
      <c r="C346" s="444" t="s">
        <v>440</v>
      </c>
      <c r="D346" s="438"/>
      <c r="E346" s="430" t="s">
        <v>441</v>
      </c>
      <c r="F346" s="430" t="s">
        <v>498</v>
      </c>
    </row>
    <row r="347" spans="2:6" ht="15" customHeight="1" x14ac:dyDescent="0.25">
      <c r="B347" s="429">
        <v>2022</v>
      </c>
      <c r="C347" s="442" t="s">
        <v>442</v>
      </c>
      <c r="D347" s="503">
        <v>0.73939628000000002</v>
      </c>
      <c r="E347" s="429" t="s">
        <v>287</v>
      </c>
      <c r="F347" s="430" t="s">
        <v>443</v>
      </c>
    </row>
    <row r="348" spans="2:6" ht="15" customHeight="1" x14ac:dyDescent="0.25">
      <c r="B348" s="429">
        <v>2023</v>
      </c>
      <c r="C348" s="442" t="s">
        <v>442</v>
      </c>
      <c r="D348" s="503">
        <v>0.73047809780939599</v>
      </c>
      <c r="E348" s="429" t="s">
        <v>287</v>
      </c>
      <c r="F348" s="430" t="s">
        <v>444</v>
      </c>
    </row>
    <row r="349" spans="2:6" ht="15" customHeight="1" x14ac:dyDescent="0.25">
      <c r="B349" s="429">
        <v>2024</v>
      </c>
      <c r="C349" s="442" t="s">
        <v>442</v>
      </c>
      <c r="D349" s="503">
        <v>1.04431834</v>
      </c>
      <c r="E349" s="429" t="s">
        <v>287</v>
      </c>
      <c r="F349" s="430" t="s">
        <v>445</v>
      </c>
    </row>
    <row r="350" spans="2:6" ht="15" customHeight="1" x14ac:dyDescent="0.25">
      <c r="B350" s="429">
        <v>2025</v>
      </c>
      <c r="C350" s="442" t="s">
        <v>442</v>
      </c>
      <c r="D350" s="503">
        <v>1.0500779</v>
      </c>
      <c r="E350" s="429" t="s">
        <v>287</v>
      </c>
      <c r="F350" s="430" t="s">
        <v>446</v>
      </c>
    </row>
    <row r="351" spans="2:6" ht="15" customHeight="1" x14ac:dyDescent="0.25">
      <c r="B351" s="429">
        <v>2026</v>
      </c>
      <c r="C351" s="442" t="s">
        <v>442</v>
      </c>
      <c r="D351" s="503"/>
      <c r="E351" s="429" t="s">
        <v>287</v>
      </c>
      <c r="F351" s="430" t="s">
        <v>447</v>
      </c>
    </row>
    <row r="352" spans="2:6" ht="15" customHeight="1" x14ac:dyDescent="0.25">
      <c r="B352" s="429">
        <v>2027</v>
      </c>
      <c r="C352" s="442" t="s">
        <v>442</v>
      </c>
      <c r="D352" s="503"/>
      <c r="E352" s="429" t="s">
        <v>287</v>
      </c>
      <c r="F352" s="430" t="s">
        <v>448</v>
      </c>
    </row>
    <row r="353" spans="2:6" ht="15" customHeight="1" x14ac:dyDescent="0.25">
      <c r="B353" s="429">
        <v>2028</v>
      </c>
      <c r="C353" s="442" t="s">
        <v>442</v>
      </c>
      <c r="D353" s="503"/>
      <c r="E353" s="429" t="s">
        <v>287</v>
      </c>
      <c r="F353" s="430" t="s">
        <v>449</v>
      </c>
    </row>
    <row r="354" spans="2:6" ht="15" customHeight="1" x14ac:dyDescent="0.25">
      <c r="B354" s="429">
        <v>2024</v>
      </c>
      <c r="C354" s="430" t="s">
        <v>450</v>
      </c>
      <c r="D354" s="437">
        <v>3.0478425559947297E-3</v>
      </c>
      <c r="E354" s="429" t="s">
        <v>451</v>
      </c>
      <c r="F354" s="430" t="s">
        <v>452</v>
      </c>
    </row>
    <row r="356" spans="2:6" ht="15" customHeight="1" x14ac:dyDescent="0.25">
      <c r="B356" s="429">
        <v>2024</v>
      </c>
      <c r="C356" s="430" t="s">
        <v>453</v>
      </c>
      <c r="D356" s="437">
        <v>3.8580808080808078E-3</v>
      </c>
      <c r="E356" s="429" t="s">
        <v>454</v>
      </c>
      <c r="F356" s="430" t="s">
        <v>455</v>
      </c>
    </row>
    <row r="358" spans="2:6" ht="15" customHeight="1" x14ac:dyDescent="0.25">
      <c r="B358" s="421" t="s">
        <v>456</v>
      </c>
      <c r="C358" s="456"/>
      <c r="D358" s="457"/>
      <c r="E358" s="15"/>
      <c r="F358" s="2"/>
    </row>
    <row r="359" spans="2:6" ht="15" customHeight="1" x14ac:dyDescent="0.25">
      <c r="B359" s="423" t="s">
        <v>457</v>
      </c>
      <c r="C359" s="424"/>
      <c r="D359" s="453" t="s">
        <v>246</v>
      </c>
      <c r="E359" s="425" t="s">
        <v>247</v>
      </c>
      <c r="F359" s="441" t="s">
        <v>248</v>
      </c>
    </row>
    <row r="360" spans="2:6" ht="15" customHeight="1" x14ac:dyDescent="0.25">
      <c r="B360" s="442" t="s">
        <v>458</v>
      </c>
      <c r="C360" s="443"/>
      <c r="D360" s="458">
        <v>28.688787462174144</v>
      </c>
      <c r="E360" s="429" t="s">
        <v>459</v>
      </c>
      <c r="F360" s="430" t="s">
        <v>460</v>
      </c>
    </row>
    <row r="361" spans="2:6" ht="15" customHeight="1" x14ac:dyDescent="0.25">
      <c r="B361" s="269" t="s">
        <v>461</v>
      </c>
      <c r="C361" s="455"/>
      <c r="D361" s="458">
        <v>28.688787462174144</v>
      </c>
      <c r="E361" s="429" t="s">
        <v>459</v>
      </c>
      <c r="F361" s="430" t="s">
        <v>460</v>
      </c>
    </row>
    <row r="362" spans="2:6" ht="15" customHeight="1" x14ac:dyDescent="0.25">
      <c r="B362" s="442" t="s">
        <v>462</v>
      </c>
      <c r="C362" s="443"/>
      <c r="D362" s="458">
        <v>28.688787462174144</v>
      </c>
      <c r="E362" s="429" t="s">
        <v>459</v>
      </c>
      <c r="F362" s="430" t="s">
        <v>460</v>
      </c>
    </row>
    <row r="363" spans="2:6" ht="15" customHeight="1" x14ac:dyDescent="0.25">
      <c r="B363" s="442" t="s">
        <v>463</v>
      </c>
      <c r="C363" s="443"/>
      <c r="D363" s="458">
        <v>28.688787462174144</v>
      </c>
      <c r="E363" s="429" t="s">
        <v>459</v>
      </c>
      <c r="F363" s="430" t="s">
        <v>460</v>
      </c>
    </row>
    <row r="364" spans="2:6" ht="15" customHeight="1" x14ac:dyDescent="0.25">
      <c r="B364" s="442" t="s">
        <v>464</v>
      </c>
      <c r="C364" s="443"/>
      <c r="D364" s="458">
        <v>620</v>
      </c>
      <c r="E364" s="429" t="s">
        <v>459</v>
      </c>
      <c r="F364" s="430" t="s">
        <v>465</v>
      </c>
    </row>
    <row r="365" spans="2:6" ht="15" customHeight="1" x14ac:dyDescent="0.25">
      <c r="B365" s="442" t="s">
        <v>466</v>
      </c>
      <c r="C365" s="443"/>
      <c r="D365" s="458">
        <v>547.6887874621741</v>
      </c>
      <c r="E365" s="429" t="s">
        <v>459</v>
      </c>
      <c r="F365" s="430" t="s">
        <v>467</v>
      </c>
    </row>
    <row r="366" spans="2:6" ht="15" customHeight="1" x14ac:dyDescent="0.25">
      <c r="B366" s="2"/>
      <c r="C366" s="2"/>
      <c r="E366" s="2"/>
      <c r="F366" s="2"/>
    </row>
    <row r="367" spans="2:6" ht="15" customHeight="1" x14ac:dyDescent="0.25">
      <c r="B367" s="2"/>
      <c r="C367" s="2"/>
      <c r="E367" s="2"/>
      <c r="F367" s="2"/>
    </row>
    <row r="368" spans="2:6" ht="15" customHeight="1" x14ac:dyDescent="0.25">
      <c r="B368" s="421" t="s">
        <v>468</v>
      </c>
      <c r="C368" s="456"/>
      <c r="E368" s="2"/>
      <c r="F368" s="2"/>
    </row>
    <row r="369" spans="2:6" ht="15" customHeight="1" x14ac:dyDescent="0.25">
      <c r="B369" s="423" t="s">
        <v>469</v>
      </c>
      <c r="C369" s="424"/>
      <c r="D369" s="453" t="s">
        <v>470</v>
      </c>
      <c r="E369" s="425" t="s">
        <v>247</v>
      </c>
      <c r="F369" s="441" t="s">
        <v>248</v>
      </c>
    </row>
    <row r="370" spans="2:6" ht="15" customHeight="1" x14ac:dyDescent="0.25">
      <c r="B370" s="459" t="s">
        <v>471</v>
      </c>
      <c r="C370" s="460"/>
      <c r="D370" s="461">
        <v>140</v>
      </c>
      <c r="E370" s="430" t="s">
        <v>472</v>
      </c>
      <c r="F370" s="430" t="s">
        <v>473</v>
      </c>
    </row>
    <row r="371" spans="2:6" ht="15" customHeight="1" x14ac:dyDescent="0.25">
      <c r="B371" s="442" t="s">
        <v>474</v>
      </c>
      <c r="C371" s="443"/>
      <c r="D371" s="461">
        <v>10</v>
      </c>
      <c r="E371" s="430" t="s">
        <v>472</v>
      </c>
      <c r="F371" s="430" t="s">
        <v>473</v>
      </c>
    </row>
    <row r="372" spans="2:6" ht="15" customHeight="1" x14ac:dyDescent="0.25">
      <c r="B372" s="2"/>
      <c r="C372" s="2"/>
      <c r="E372" s="2"/>
      <c r="F372" s="2"/>
    </row>
    <row r="373" spans="2:6" ht="15" customHeight="1" x14ac:dyDescent="0.25">
      <c r="B373" s="2"/>
      <c r="C373" s="2"/>
      <c r="E373" s="2"/>
      <c r="F373" s="2"/>
    </row>
    <row r="374" spans="2:6" ht="15" customHeight="1" x14ac:dyDescent="0.25">
      <c r="B374" s="421" t="s">
        <v>236</v>
      </c>
      <c r="C374" s="456"/>
      <c r="E374" s="2"/>
      <c r="F374" s="2"/>
    </row>
    <row r="375" spans="2:6" ht="15" customHeight="1" x14ac:dyDescent="0.25">
      <c r="B375" s="423" t="s">
        <v>475</v>
      </c>
      <c r="C375" s="424"/>
      <c r="D375" s="453" t="s">
        <v>470</v>
      </c>
      <c r="E375" s="425" t="s">
        <v>247</v>
      </c>
      <c r="F375" s="2"/>
    </row>
    <row r="376" spans="2:6" ht="15" customHeight="1" x14ac:dyDescent="0.25">
      <c r="B376" s="442" t="s">
        <v>476</v>
      </c>
      <c r="C376" s="443"/>
      <c r="D376" s="461">
        <v>80</v>
      </c>
      <c r="E376" s="430" t="s">
        <v>62</v>
      </c>
      <c r="F376" s="2"/>
    </row>
    <row r="377" spans="2:6" ht="15" customHeight="1" x14ac:dyDescent="0.25">
      <c r="B377" s="442" t="s">
        <v>477</v>
      </c>
      <c r="C377" s="443"/>
      <c r="D377" s="461">
        <f>D376/16</f>
        <v>5</v>
      </c>
      <c r="E377" s="430" t="s">
        <v>62</v>
      </c>
      <c r="F377" s="2"/>
    </row>
    <row r="378" spans="2:6" s="523" customFormat="1" ht="15" customHeight="1" x14ac:dyDescent="0.25">
      <c r="B378" s="442" t="s">
        <v>508</v>
      </c>
      <c r="C378" s="524"/>
      <c r="D378" s="458">
        <v>2.7315789473684209</v>
      </c>
      <c r="E378" s="430" t="s">
        <v>62</v>
      </c>
    </row>
    <row r="379" spans="2:6" s="523" customFormat="1" ht="15" customHeight="1" x14ac:dyDescent="0.25">
      <c r="B379" s="442" t="s">
        <v>509</v>
      </c>
      <c r="C379" s="524"/>
      <c r="D379" s="458">
        <v>3.8021979759645794</v>
      </c>
      <c r="E379" s="430" t="s">
        <v>62</v>
      </c>
    </row>
    <row r="380" spans="2:6" ht="15" customHeight="1" x14ac:dyDescent="0.25">
      <c r="B380" s="2"/>
      <c r="C380" s="2"/>
      <c r="E380" s="2"/>
      <c r="F380" s="2"/>
    </row>
    <row r="381" spans="2:6" ht="15" customHeight="1" x14ac:dyDescent="0.25">
      <c r="B381" s="2" t="s">
        <v>478</v>
      </c>
      <c r="C381" s="2"/>
      <c r="E381" s="2"/>
      <c r="F381" s="2"/>
    </row>
    <row r="382" spans="2:6" ht="15" customHeight="1" x14ac:dyDescent="0.25">
      <c r="B382" s="2" t="s">
        <v>257</v>
      </c>
      <c r="C382" s="2"/>
      <c r="E382" s="2"/>
      <c r="F382" s="2"/>
    </row>
    <row r="383" spans="2:6" ht="15" customHeight="1" x14ac:dyDescent="0.25">
      <c r="B383" s="2" t="s">
        <v>51</v>
      </c>
      <c r="C383" s="2"/>
      <c r="E383" s="2"/>
      <c r="F383" s="2"/>
    </row>
    <row r="384" spans="2:6" ht="15" customHeight="1" x14ac:dyDescent="0.25">
      <c r="B384" s="2" t="s">
        <v>264</v>
      </c>
      <c r="C384" s="2"/>
      <c r="E384" s="2"/>
      <c r="F384" s="2"/>
    </row>
    <row r="385" spans="2:6" ht="15" customHeight="1" x14ac:dyDescent="0.25">
      <c r="B385" s="2" t="s">
        <v>479</v>
      </c>
      <c r="C385" s="2"/>
      <c r="E385" s="2"/>
      <c r="F385" s="2"/>
    </row>
    <row r="387" spans="2:6" ht="15" customHeight="1" x14ac:dyDescent="0.25">
      <c r="B387" s="2" t="s">
        <v>480</v>
      </c>
    </row>
    <row r="388" spans="2:6" ht="15" customHeight="1" x14ac:dyDescent="0.25">
      <c r="B388" s="2" t="s">
        <v>266</v>
      </c>
    </row>
    <row r="389" spans="2:6" ht="15" customHeight="1" x14ac:dyDescent="0.25">
      <c r="B389" s="2" t="s">
        <v>274</v>
      </c>
    </row>
    <row r="390" spans="2:6" ht="15" customHeight="1" x14ac:dyDescent="0.25">
      <c r="B390" s="2" t="s">
        <v>481</v>
      </c>
    </row>
    <row r="391" spans="2:6" ht="15" customHeight="1" x14ac:dyDescent="0.25">
      <c r="B391" s="2" t="s">
        <v>276</v>
      </c>
    </row>
    <row r="392" spans="2:6" ht="15" customHeight="1" x14ac:dyDescent="0.25">
      <c r="B392" s="2" t="s">
        <v>482</v>
      </c>
    </row>
    <row r="1048567" spans="5:5" ht="15" customHeight="1" x14ac:dyDescent="0.25">
      <c r="E1048567">
        <f>SUM(E1:E1048566)</f>
        <v>0</v>
      </c>
    </row>
  </sheetData>
  <sortState xmlns:xlrd2="http://schemas.microsoft.com/office/spreadsheetml/2017/richdata2" ref="B147:E157">
    <sortCondition ref="B147:B157"/>
  </sortState>
  <mergeCells count="1">
    <mergeCell ref="B3:F3"/>
  </mergeCells>
  <phoneticPr fontId="43" type="noConversion"/>
  <hyperlinks>
    <hyperlink ref="B158" r:id="rId1" location="ftn2" xr:uid="{BD8653DF-49B4-4BE4-B87D-C3244238A6AF}"/>
    <hyperlink ref="B3:F3" r:id="rId2" display="KHG jalajälje arvutamise aluseks olevad eriheitetegurid põhinevad Kliimaministeeriumi poolt kinnitatud vastaval andmebaasil (https://kliimaministeerium.ee/organisatsioonide-khg-jalajalg). Suurema varieeruvusega eriheitetegurid (elektrienergia, kaugküte) on alltoodud tabelites esitatud ainult 2022. aasta kohta. Kui kasutada käesolevat mudelit järgmiste aastate jalajälje arvutamiseks, tuleks vastavate aastate kohta sisestada tabelitesse asjakohased uued eriheitetegurid (vt juhised tabelites). Ülejäänud eriheitetegurite muudatustest anname eraldi teada." xr:uid="{3223F68D-AB1F-40FC-969E-4F840100490A}"/>
  </hyperlinks>
  <pageMargins left="0.7" right="0.7" top="0.75" bottom="0.75" header="0.3" footer="0.3"/>
  <pageSetup orientation="portrait"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bd50d0-d8f0-4351-bcc9-bc0089db6ffe">
      <Terms xmlns="http://schemas.microsoft.com/office/infopath/2007/PartnerControls"/>
    </lcf76f155ced4ddcb4097134ff3c332f>
    <TaxCatchAll xmlns="0e000f76-03c3-4a6d-ba20-82435f178b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B5836B143DC4489B22C23BC79EF2DD" ma:contentTypeVersion="19" ma:contentTypeDescription="Skapa ett nytt dokument." ma:contentTypeScope="" ma:versionID="ceca21d2d9b433f1de514609282e9edb">
  <xsd:schema xmlns:xsd="http://www.w3.org/2001/XMLSchema" xmlns:xs="http://www.w3.org/2001/XMLSchema" xmlns:p="http://schemas.microsoft.com/office/2006/metadata/properties" xmlns:ns2="51bd50d0-d8f0-4351-bcc9-bc0089db6ffe" xmlns:ns3="0e000f76-03c3-4a6d-ba20-82435f178b63" targetNamespace="http://schemas.microsoft.com/office/2006/metadata/properties" ma:root="true" ma:fieldsID="3d44e24d81577be5bce3ede5c9e9cc9a" ns2:_="" ns3:_="">
    <xsd:import namespace="51bd50d0-d8f0-4351-bcc9-bc0089db6ffe"/>
    <xsd:import namespace="0e000f76-03c3-4a6d-ba20-82435f17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d50d0-d8f0-4351-bcc9-bc0089db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000f76-03c3-4a6d-ba20-82435f178b63"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eb8b964a-4c45-40bb-880e-562ce8cd8a41}" ma:internalName="TaxCatchAll" ma:showField="CatchAllData" ma:web="0e000f76-03c3-4a6d-ba20-82435f17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0A508-B0D8-45EB-91E5-C26373E979A3}">
  <ds:schemaRefs>
    <ds:schemaRef ds:uri="http://schemas.microsoft.com/sharepoint/v3/contenttype/forms"/>
  </ds:schemaRefs>
</ds:datastoreItem>
</file>

<file path=customXml/itemProps2.xml><?xml version="1.0" encoding="utf-8"?>
<ds:datastoreItem xmlns:ds="http://schemas.openxmlformats.org/officeDocument/2006/customXml" ds:itemID="{D6A126EC-8F81-4A49-9FA9-8A4A71257C61}">
  <ds:schemaRefs>
    <ds:schemaRef ds:uri="http://schemas.microsoft.com/office/2006/metadata/properties"/>
    <ds:schemaRef ds:uri="http://schemas.microsoft.com/office/infopath/2007/PartnerControls"/>
    <ds:schemaRef ds:uri="51bd50d0-d8f0-4351-bcc9-bc0089db6ffe"/>
    <ds:schemaRef ds:uri="0e000f76-03c3-4a6d-ba20-82435f178b63"/>
  </ds:schemaRefs>
</ds:datastoreItem>
</file>

<file path=customXml/itemProps3.xml><?xml version="1.0" encoding="utf-8"?>
<ds:datastoreItem xmlns:ds="http://schemas.openxmlformats.org/officeDocument/2006/customXml" ds:itemID="{ECA1156E-FC73-4353-8A1E-3A443D7A7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d50d0-d8f0-4351-bcc9-bc0089db6ffe"/>
    <ds:schemaRef ds:uri="0e000f76-03c3-4a6d-ba20-82435f17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306</vt:i4>
      </vt:variant>
    </vt:vector>
  </HeadingPairs>
  <TitlesOfParts>
    <vt:vector size="321" baseType="lpstr">
      <vt:lpstr>SISSEJUHATUS</vt:lpstr>
      <vt:lpstr>ÜLDANDMED</vt:lpstr>
      <vt:lpstr>ELEKTER</vt:lpstr>
      <vt:lpstr>SOOJUS</vt:lpstr>
      <vt:lpstr>VESI</vt:lpstr>
      <vt:lpstr>PABER</vt:lpstr>
      <vt:lpstr>JÄÄTMED</vt:lpstr>
      <vt:lpstr>KOOND</vt:lpstr>
      <vt:lpstr>KHG_OMA SÕIDUKID M1</vt:lpstr>
      <vt:lpstr>KHG_HAJUSHEITMED M1</vt:lpstr>
      <vt:lpstr>KHG_TÖÖREISID M3</vt:lpstr>
      <vt:lpstr>KHG_TÖÖLE-KOJU M3</vt:lpstr>
      <vt:lpstr>KHG_TRANSPORDITEENUS M3</vt:lpstr>
      <vt:lpstr>KHG JALAJÄLG KOOND</vt:lpstr>
      <vt:lpstr>KHG eriheitetegurid</vt:lpstr>
      <vt:lpstr>a_2022</vt:lpstr>
      <vt:lpstr>a_2023</vt:lpstr>
      <vt:lpstr>a_2024</vt:lpstr>
      <vt:lpstr>a_2025</vt:lpstr>
      <vt:lpstr>a_2026</vt:lpstr>
      <vt:lpstr>a_2027</vt:lpstr>
      <vt:lpstr>a_2028</vt:lpstr>
      <vt:lpstr>b_2022</vt:lpstr>
      <vt:lpstr>b_2023</vt:lpstr>
      <vt:lpstr>b_2024</vt:lpstr>
      <vt:lpstr>b_2025</vt:lpstr>
      <vt:lpstr>b_2026</vt:lpstr>
      <vt:lpstr>b_2027</vt:lpstr>
      <vt:lpstr>b_2028</vt:lpstr>
      <vt:lpstr>c_2022</vt:lpstr>
      <vt:lpstr>c_2023</vt:lpstr>
      <vt:lpstr>c_2024</vt:lpstr>
      <vt:lpstr>c_2025</vt:lpstr>
      <vt:lpstr>c_2026</vt:lpstr>
      <vt:lpstr>c_2027</vt:lpstr>
      <vt:lpstr>c_2028</vt:lpstr>
      <vt:lpstr>jäätmed_biojäätmed</vt:lpstr>
      <vt:lpstr>jäätmed_klaas</vt:lpstr>
      <vt:lpstr>jäätmed_paber</vt:lpstr>
      <vt:lpstr>jäätmed_segaolme_prügila</vt:lpstr>
      <vt:lpstr>jäätmed_segaolme_põletus</vt:lpstr>
      <vt:lpstr>jäätmed_segapakend</vt:lpstr>
      <vt:lpstr>kodukontor_elekter</vt:lpstr>
      <vt:lpstr>kodukontor_valgustus</vt:lpstr>
      <vt:lpstr>kütus_bensiin_kaubik_2022</vt:lpstr>
      <vt:lpstr>kütus_bensiin_kaubik_2023</vt:lpstr>
      <vt:lpstr>kütus_bensiin_kaubik_2024</vt:lpstr>
      <vt:lpstr>kütus_bensiin_kaubik_2025</vt:lpstr>
      <vt:lpstr>kütus_bensiin_kaubik_2026</vt:lpstr>
      <vt:lpstr>kütus_bensiin_kaubik_2027</vt:lpstr>
      <vt:lpstr>kütus_bensiin_kaubik_2028</vt:lpstr>
      <vt:lpstr>kütus_bensiin_sõiduauto_2022</vt:lpstr>
      <vt:lpstr>kütus_bensiin_sõiduauto_2023</vt:lpstr>
      <vt:lpstr>kütus_bensiin_sõiduauto_2024</vt:lpstr>
      <vt:lpstr>kütus_bensiin_sõiduauto_2025</vt:lpstr>
      <vt:lpstr>kütus_bensiin_sõiduauto_2026</vt:lpstr>
      <vt:lpstr>kütus_bensiin_sõiduauto_2027</vt:lpstr>
      <vt:lpstr>kütus_bensiin_sõiduauto_2028</vt:lpstr>
      <vt:lpstr>kütus_bioCNG_sõiduauto_2022</vt:lpstr>
      <vt:lpstr>kütus_bioCNG_sõiduauto_2023</vt:lpstr>
      <vt:lpstr>kütus_bioCNG_sõiduauto_2024</vt:lpstr>
      <vt:lpstr>kütus_bioCNG_sõiduauto_2025</vt:lpstr>
      <vt:lpstr>kütus_bioCNG_sõiduauto_2026</vt:lpstr>
      <vt:lpstr>kütus_bioCNG_sõiduauto_2027</vt:lpstr>
      <vt:lpstr>kütus_bioCNG_sõiduauto_2028</vt:lpstr>
      <vt:lpstr>kütus_CNG_sõiduauto_2022</vt:lpstr>
      <vt:lpstr>kütus_CNG_sõiduauto_2023</vt:lpstr>
      <vt:lpstr>kütus_CNG_sõiduauto_2024</vt:lpstr>
      <vt:lpstr>kütus_CNG_sõiduauto_2025</vt:lpstr>
      <vt:lpstr>kütus_CNG_sõiduauto_2026</vt:lpstr>
      <vt:lpstr>kütus_CNG_sõiduauto_2027</vt:lpstr>
      <vt:lpstr>kütus_CNG_sõiduauto_2028</vt:lpstr>
      <vt:lpstr>kütus_diisel_buss_2022</vt:lpstr>
      <vt:lpstr>kütus_diisel_buss_2023</vt:lpstr>
      <vt:lpstr>kütus_diisel_buss_2024</vt:lpstr>
      <vt:lpstr>kütus_diisel_buss_2025</vt:lpstr>
      <vt:lpstr>kütus_diisel_buss_2026</vt:lpstr>
      <vt:lpstr>kütus_diisel_buss_2027</vt:lpstr>
      <vt:lpstr>kütus_diisel_buss_2028</vt:lpstr>
      <vt:lpstr>kütus_diisel_kaubik_2022</vt:lpstr>
      <vt:lpstr>kütus_diisel_kaubik_2023</vt:lpstr>
      <vt:lpstr>kütus_diisel_kaubik_2024</vt:lpstr>
      <vt:lpstr>kütus_diisel_kaubik_2025</vt:lpstr>
      <vt:lpstr>kütus_diisel_kaubik_2026</vt:lpstr>
      <vt:lpstr>kütus_diisel_kaubik_2027</vt:lpstr>
      <vt:lpstr>kütus_diisel_kaubik_2028</vt:lpstr>
      <vt:lpstr>kütus_diisel_sõiduauto_2022</vt:lpstr>
      <vt:lpstr>kütus_diisel_sõiduauto_2023</vt:lpstr>
      <vt:lpstr>kütus_diisel_sõiduauto_2024</vt:lpstr>
      <vt:lpstr>kütus_diisel_sõiduauto_2025</vt:lpstr>
      <vt:lpstr>kütus_diisel_sõiduauto_2026</vt:lpstr>
      <vt:lpstr>kütus_diisel_sõiduauto_2027</vt:lpstr>
      <vt:lpstr>kütus_diisel_sõiduauto_2028</vt:lpstr>
      <vt:lpstr>kütus_taastuvelekter</vt:lpstr>
      <vt:lpstr>lehträtik</vt:lpstr>
      <vt:lpstr>lokaalküte_biomass_2022</vt:lpstr>
      <vt:lpstr>lokaalküte_biomass_2023</vt:lpstr>
      <vt:lpstr>lokaalküte_biomass_2024</vt:lpstr>
      <vt:lpstr>lokaalküte_biomass_2025</vt:lpstr>
      <vt:lpstr>lokaalküte_biomass_2026</vt:lpstr>
      <vt:lpstr>lokaalküte_biomass_2027</vt:lpstr>
      <vt:lpstr>lokaalküte_biomass_2028</vt:lpstr>
      <vt:lpstr>lokaalküte_freesturvas_2022</vt:lpstr>
      <vt:lpstr>lokaalküte_freesturvas_2023</vt:lpstr>
      <vt:lpstr>lokaalküte_freesturvas_2024</vt:lpstr>
      <vt:lpstr>lokaalküte_freesturvas_2025</vt:lpstr>
      <vt:lpstr>lokaalküte_freesturvas_2026</vt:lpstr>
      <vt:lpstr>lokaalküte_freesturvas_2027</vt:lpstr>
      <vt:lpstr>lokaalküte_freesturvas_2028</vt:lpstr>
      <vt:lpstr>lokaalküte_kütteõli_2022</vt:lpstr>
      <vt:lpstr>lokaalküte_kütteõli_2023</vt:lpstr>
      <vt:lpstr>lokaalküte_kütteõli_2024</vt:lpstr>
      <vt:lpstr>lokaalküte_kütteõli_2025</vt:lpstr>
      <vt:lpstr>lokaalküte_kütteõli_2026</vt:lpstr>
      <vt:lpstr>lokaalküte_kütteõli_2027</vt:lpstr>
      <vt:lpstr>lokaalküte_kütteõli_2028</vt:lpstr>
      <vt:lpstr>lokaalküte_maagaas_2022</vt:lpstr>
      <vt:lpstr>lokaalküte_maagaas_2023</vt:lpstr>
      <vt:lpstr>lokaalküte_maagaas_2024</vt:lpstr>
      <vt:lpstr>lokaalküte_maagaas_2025</vt:lpstr>
      <vt:lpstr>lokaalküte_maagaas_2026</vt:lpstr>
      <vt:lpstr>lokaalküte_maagaas_2027</vt:lpstr>
      <vt:lpstr>lokaalküte_maagaas_2028</vt:lpstr>
      <vt:lpstr>lokaalküte_põlevkiviõli_2022</vt:lpstr>
      <vt:lpstr>lokaalküte_põlevkiviõli_2023</vt:lpstr>
      <vt:lpstr>lokaalküte_põlevkiviõli_2024</vt:lpstr>
      <vt:lpstr>lokaalküte_põlevkiviõli_2025</vt:lpstr>
      <vt:lpstr>lokaalküte_põlevkiviõli_2026</vt:lpstr>
      <vt:lpstr>lokaalküte_põlevkiviõli_2027</vt:lpstr>
      <vt:lpstr>lokaalküte_põlevkiviõli_2028</vt:lpstr>
      <vt:lpstr>paber_2022</vt:lpstr>
      <vt:lpstr>paber_2023</vt:lpstr>
      <vt:lpstr>paber_2024</vt:lpstr>
      <vt:lpstr>paber_2025</vt:lpstr>
      <vt:lpstr>paber_2026</vt:lpstr>
      <vt:lpstr>paber_2027</vt:lpstr>
      <vt:lpstr>paber_2028</vt:lpstr>
      <vt:lpstr>segajääk_2022</vt:lpstr>
      <vt:lpstr>segajääk_2023</vt:lpstr>
      <vt:lpstr>segajääk_2024</vt:lpstr>
      <vt:lpstr>segajääk_2025</vt:lpstr>
      <vt:lpstr>segajääk_2026</vt:lpstr>
      <vt:lpstr>segajääk_2027</vt:lpstr>
      <vt:lpstr>segajääk_2028</vt:lpstr>
      <vt:lpstr>sõiduauto_bensiin_2022</vt:lpstr>
      <vt:lpstr>sõiduauto_bensiin_2023</vt:lpstr>
      <vt:lpstr>sõiduauto_bensiin_2024</vt:lpstr>
      <vt:lpstr>sõiduauto_bensiin_2025</vt:lpstr>
      <vt:lpstr>sõiduauto_bensiin_2026</vt:lpstr>
      <vt:lpstr>sõiduauto_bensiin_2027</vt:lpstr>
      <vt:lpstr>sõiduauto_bensiin_2028</vt:lpstr>
      <vt:lpstr>sõiduauto_bioCNG_2022</vt:lpstr>
      <vt:lpstr>sõiduauto_bioCNG_2023</vt:lpstr>
      <vt:lpstr>sõiduauto_bioCNG_2024</vt:lpstr>
      <vt:lpstr>sõiduauto_bioCNG_2025</vt:lpstr>
      <vt:lpstr>sõiduauto_bioCNG_2026</vt:lpstr>
      <vt:lpstr>sõiduauto_bioCNG_2027</vt:lpstr>
      <vt:lpstr>sõiduauto_bioCNG_2028</vt:lpstr>
      <vt:lpstr>sõiduauto_CNG_2022</vt:lpstr>
      <vt:lpstr>sõiduauto_CNG_2023</vt:lpstr>
      <vt:lpstr>sõiduauto_CNG_2024</vt:lpstr>
      <vt:lpstr>sõiduauto_CNG_2025</vt:lpstr>
      <vt:lpstr>sõiduauto_CNG_2026</vt:lpstr>
      <vt:lpstr>sõiduauto_CNG_2027</vt:lpstr>
      <vt:lpstr>sõiduauto_CNG_2028</vt:lpstr>
      <vt:lpstr>sõiduauto_diisel_2022</vt:lpstr>
      <vt:lpstr>sõiduauto_diisel_2023</vt:lpstr>
      <vt:lpstr>sõiduauto_diisel_2024</vt:lpstr>
      <vt:lpstr>sõiduauto_diisel_2025</vt:lpstr>
      <vt:lpstr>sõiduauto_diisel_2026</vt:lpstr>
      <vt:lpstr>sõiduauto_diisel_2027</vt:lpstr>
      <vt:lpstr>sõiduauto_diisel_2028</vt:lpstr>
      <vt:lpstr>sõiduauto_hübriid_2022</vt:lpstr>
      <vt:lpstr>sõiduauto_hübriid_2023</vt:lpstr>
      <vt:lpstr>sõiduauto_hübriid_2024</vt:lpstr>
      <vt:lpstr>sõiduauto_hübriid_2025</vt:lpstr>
      <vt:lpstr>sõiduauto_hübriid_2026</vt:lpstr>
      <vt:lpstr>sõiduauto_hübriid_2027</vt:lpstr>
      <vt:lpstr>sõiduauto_hübriid_2028</vt:lpstr>
      <vt:lpstr>sõiduauto_taastuvelekter</vt:lpstr>
      <vt:lpstr>sõiduauto_tavaelekter_2022</vt:lpstr>
      <vt:lpstr>sõiduauto_tavaelekter_2023</vt:lpstr>
      <vt:lpstr>sõiduauto_tavaelekter_2024</vt:lpstr>
      <vt:lpstr>sõiduauto_tavaelekter_2025</vt:lpstr>
      <vt:lpstr>sõiduauto_tavaelekter_2026</vt:lpstr>
      <vt:lpstr>sõiduauto_tavaelekter_2027</vt:lpstr>
      <vt:lpstr>sõiduauto_tavaelekter_2028</vt:lpstr>
      <vt:lpstr>sõiduk_buss_kaugliin_2022</vt:lpstr>
      <vt:lpstr>sõiduk_buss_kaugliin_2023</vt:lpstr>
      <vt:lpstr>sõiduk_buss_kaugliin_2024</vt:lpstr>
      <vt:lpstr>sõiduk_buss_kaugliin_2025</vt:lpstr>
      <vt:lpstr>sõiduk_buss_kaugliin_2026</vt:lpstr>
      <vt:lpstr>sõiduk_buss_kaugliin_2027</vt:lpstr>
      <vt:lpstr>sõiduk_buss_kaugliin_2028</vt:lpstr>
      <vt:lpstr>sõiduk_buss_linnaliin_Eesti_2022</vt:lpstr>
      <vt:lpstr>sõiduk_buss_linnaliin_Eesti_2023</vt:lpstr>
      <vt:lpstr>sõiduk_buss_linnaliin_Eesti_2024</vt:lpstr>
      <vt:lpstr>sõiduk_buss_linnaliin_Eesti_2025</vt:lpstr>
      <vt:lpstr>sõiduk_buss_linnaliin_Eesti_2026</vt:lpstr>
      <vt:lpstr>sõiduk_buss_linnaliin_Eesti_2027</vt:lpstr>
      <vt:lpstr>sõiduk_buss_linnaliin_Eesti_2028</vt:lpstr>
      <vt:lpstr>sõiduk_buss_linnaliin_Tallinn_2022</vt:lpstr>
      <vt:lpstr>sõiduk_buss_linnaliin_Tallinn_2023</vt:lpstr>
      <vt:lpstr>sõiduk_buss_linnaliin_Tallinn_2024</vt:lpstr>
      <vt:lpstr>sõiduk_buss_linnaliin_Tallinn_2025</vt:lpstr>
      <vt:lpstr>sõiduk_buss_linnaliin_Tallinn_2026</vt:lpstr>
      <vt:lpstr>sõiduk_buss_linnaliin_Tallinn_2027</vt:lpstr>
      <vt:lpstr>sõiduk_buss_linnaliin_Tallinn_2028</vt:lpstr>
      <vt:lpstr>sõiduk_buss_maakondlik_2022</vt:lpstr>
      <vt:lpstr>sõiduk_buss_maakondlik_2023</vt:lpstr>
      <vt:lpstr>sõiduk_buss_maakondlik_2024</vt:lpstr>
      <vt:lpstr>sõiduk_buss_maakondlik_2025</vt:lpstr>
      <vt:lpstr>sõiduk_buss_maakondlik_2026</vt:lpstr>
      <vt:lpstr>sõiduk_buss_maakondlik_2027</vt:lpstr>
      <vt:lpstr>sõiduk_buss_maakondlik_2028</vt:lpstr>
      <vt:lpstr>sõiduk_diiselrong_2022</vt:lpstr>
      <vt:lpstr>sõiduk_diiselrong_2023</vt:lpstr>
      <vt:lpstr>sõiduk_diiselrong_2024</vt:lpstr>
      <vt:lpstr>sõiduk_diiselrong_2025</vt:lpstr>
      <vt:lpstr>sõiduk_diiselrong_2026</vt:lpstr>
      <vt:lpstr>sõiduk_diiselrong_2027</vt:lpstr>
      <vt:lpstr>sõiduk_diiselrong_2028</vt:lpstr>
      <vt:lpstr>sõiduk_elektrirong</vt:lpstr>
      <vt:lpstr>sõiduk_laev_2022</vt:lpstr>
      <vt:lpstr>sõiduk_laev_2023</vt:lpstr>
      <vt:lpstr>sõiduk_laev_2024</vt:lpstr>
      <vt:lpstr>sõiduk_laev_2025</vt:lpstr>
      <vt:lpstr>sõiduk_laev_2026</vt:lpstr>
      <vt:lpstr>sõiduk_laev_2027</vt:lpstr>
      <vt:lpstr>sõiduk_laev_2028</vt:lpstr>
      <vt:lpstr>sõiduk_lennuk_2022</vt:lpstr>
      <vt:lpstr>sõiduk_lennuk_2023</vt:lpstr>
      <vt:lpstr>sõiduk_lennuk_2024</vt:lpstr>
      <vt:lpstr>sõiduk_lennuk_2025</vt:lpstr>
      <vt:lpstr>sõiduk_lennuk_2026</vt:lpstr>
      <vt:lpstr>sõiduk_lennuk_2027</vt:lpstr>
      <vt:lpstr>sõiduk_lennuk_2028</vt:lpstr>
      <vt:lpstr>sõiduk_taastuvelektriratas</vt:lpstr>
      <vt:lpstr>sõiduk_takso_2022</vt:lpstr>
      <vt:lpstr>sõiduk_takso_2023</vt:lpstr>
      <vt:lpstr>sõiduk_takso_2024</vt:lpstr>
      <vt:lpstr>sõiduk_takso_2025</vt:lpstr>
      <vt:lpstr>sõiduk_takso_2026</vt:lpstr>
      <vt:lpstr>sõiduk_takso_2027</vt:lpstr>
      <vt:lpstr>sõiduk_takso_2028</vt:lpstr>
      <vt:lpstr>sõiduk_tavaelektriratas_2022</vt:lpstr>
      <vt:lpstr>sõiduk_tavaelektriratas_2023</vt:lpstr>
      <vt:lpstr>sõiduk_tavaelektriratas_2024</vt:lpstr>
      <vt:lpstr>sõiduk_tavaelektriratas_2025</vt:lpstr>
      <vt:lpstr>sõiduk_tavaelektriratas_2026</vt:lpstr>
      <vt:lpstr>sõiduk_tavaelektriratas_2027</vt:lpstr>
      <vt:lpstr>sõiduk_tavaelektriratas_2028</vt:lpstr>
      <vt:lpstr>sõiduk_tavajalgratas</vt:lpstr>
      <vt:lpstr>sõiduk_tramm</vt:lpstr>
      <vt:lpstr>transport_buss_2022</vt:lpstr>
      <vt:lpstr>transport_buss_2023</vt:lpstr>
      <vt:lpstr>transport_buss_2024</vt:lpstr>
      <vt:lpstr>transport_buss_2025</vt:lpstr>
      <vt:lpstr>transport_buss_2026</vt:lpstr>
      <vt:lpstr>transport_buss_2027</vt:lpstr>
      <vt:lpstr>transport_buss_2028</vt:lpstr>
      <vt:lpstr>transport_kaubik_bensiin_km_2022</vt:lpstr>
      <vt:lpstr>transport_kaubik_bensiin_km_2023</vt:lpstr>
      <vt:lpstr>transport_kaubik_bensiin_km_2024</vt:lpstr>
      <vt:lpstr>transport_kaubik_bensiin_km_2025</vt:lpstr>
      <vt:lpstr>transport_kaubik_bensiin_km_2026</vt:lpstr>
      <vt:lpstr>transport_kaubik_bensiin_km_2027</vt:lpstr>
      <vt:lpstr>transport_kaubik_bensiin_km_2028</vt:lpstr>
      <vt:lpstr>transport_kaubik_bensiin_tonnkm_2022</vt:lpstr>
      <vt:lpstr>transport_kaubik_bensiin_tonnkm_2023</vt:lpstr>
      <vt:lpstr>transport_kaubik_bensiin_tonnkm_2024</vt:lpstr>
      <vt:lpstr>transport_kaubik_bensiin_tonnkm_2025</vt:lpstr>
      <vt:lpstr>transport_kaubik_bensiin_tonnkm_2026</vt:lpstr>
      <vt:lpstr>transport_kaubik_bensiin_tonnkm_2027</vt:lpstr>
      <vt:lpstr>transport_kaubik_bensiin_tonnkm_2028</vt:lpstr>
      <vt:lpstr>transport_kaubik_diisel_km_2022</vt:lpstr>
      <vt:lpstr>transport_kaubik_diisel_km_2023</vt:lpstr>
      <vt:lpstr>transport_kaubik_diisel_km_2024</vt:lpstr>
      <vt:lpstr>transport_kaubik_diisel_km_2025</vt:lpstr>
      <vt:lpstr>transport_kaubik_diisel_km_2026</vt:lpstr>
      <vt:lpstr>transport_kaubik_diisel_km_2027</vt:lpstr>
      <vt:lpstr>transport_kaubik_diisel_km_2028</vt:lpstr>
      <vt:lpstr>transport_kaubik_diisel_tonnkm_2022</vt:lpstr>
      <vt:lpstr>transport_kaubik_diisel_tonnkm_2023</vt:lpstr>
      <vt:lpstr>transport_kaubik_diisel_tonnkm_2024</vt:lpstr>
      <vt:lpstr>transport_kaubik_diisel_tonnkm_2025</vt:lpstr>
      <vt:lpstr>transport_kaubik_diisel_tonnkm_2026</vt:lpstr>
      <vt:lpstr>transport_kaubik_diisel_tonnkm_2027</vt:lpstr>
      <vt:lpstr>transport_kaubik_diisel_tonnkm_2028</vt:lpstr>
      <vt:lpstr>transport_kaubik_taastuvelekter_km</vt:lpstr>
      <vt:lpstr>transport_kaubik_taastuvelekter_tonnkm</vt:lpstr>
      <vt:lpstr>transport_kaubik_tavaelekter_km_2022</vt:lpstr>
      <vt:lpstr>transport_kaubik_tavaelekter_km_2023</vt:lpstr>
      <vt:lpstr>transport_kaubik_tavaelekter_km_2024</vt:lpstr>
      <vt:lpstr>transport_kaubik_tavaelekter_km_2025</vt:lpstr>
      <vt:lpstr>transport_kaubik_tavaelekter_km_2026</vt:lpstr>
      <vt:lpstr>transport_kaubik_tavaelekter_km_2027</vt:lpstr>
      <vt:lpstr>transport_kaubik_tavaelekter_km_2028</vt:lpstr>
      <vt:lpstr>transport_kaubik_tavaelekter_tonnkm_2022</vt:lpstr>
      <vt:lpstr>transport_kaubik_tavaelekter_tonnkm_2023</vt:lpstr>
      <vt:lpstr>transport_kaubik_tavaelekter_tonnkm_2024</vt:lpstr>
      <vt:lpstr>transport_kaubik_tavaelekter_tonnkm_2025</vt:lpstr>
      <vt:lpstr>transport_kaubik_tavaelekter_tonnkm_2026</vt:lpstr>
      <vt:lpstr>transport_kaubik_tavaelekter_tonnkm_2027</vt:lpstr>
      <vt:lpstr>transport_kaubik_tavaelekter_tonnkm_2028</vt:lpstr>
      <vt:lpstr>transport_väikebuss_2022</vt:lpstr>
      <vt:lpstr>transport_väikebuss_2023</vt:lpstr>
      <vt:lpstr>transport_väikebuss_2024</vt:lpstr>
      <vt:lpstr>transport_väikebuss_2025</vt:lpstr>
      <vt:lpstr>transport_väikebuss_2026</vt:lpstr>
      <vt:lpstr>transport_väikebuss_2027</vt:lpstr>
      <vt:lpstr>transport_väikebuss_2028</vt:lpstr>
      <vt:lpstr>tualettpaber</vt:lpstr>
      <vt:lpstr>tööle_koju_jalgsi</vt:lpstr>
      <vt:lpstr>vesi_2022</vt:lpstr>
      <vt:lpstr>vesi_2023</vt:lpstr>
      <vt:lpstr>vesi_2024</vt:lpstr>
      <vt:lpstr>vesi_2025</vt:lpstr>
      <vt:lpstr>vesi_2026</vt:lpstr>
      <vt:lpstr>vesi_2027</vt:lpstr>
      <vt:lpstr>vesi_2028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2025-06-19T10:44:53Z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0x0101009FB5836B143DC4489B22C23BC79EF2DD</vt:lpwstr>
  </property>
  <property fmtid="{D5CDD505-2E9C-101B-9397-08002B2CF9AE}" pid="3" name="MediaServiceImageTags">
    <vt:lpwstr/>
  </property>
</Properties>
</file>